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9915" activeTab="5"/>
  </bookViews>
  <sheets>
    <sheet name="Határérték" sheetId="1" r:id="rId1"/>
    <sheet name="Valós sjtért" sheetId="2" r:id="rId2"/>
    <sheet name="Komplex sjtért" sheetId="3" r:id="rId3"/>
    <sheet name="Munka2" sheetId="4" r:id="rId4"/>
    <sheet name="Munka3" sheetId="5" r:id="rId5"/>
    <sheet name="argumentum_masolata" sheetId="6" r:id="rId6"/>
    <sheet name="Másik_módja" sheetId="7" r:id="rId7"/>
  </sheets>
  <definedNames/>
  <calcPr fullCalcOnLoad="1"/>
</workbook>
</file>

<file path=xl/sharedStrings.xml><?xml version="1.0" encoding="utf-8"?>
<sst xmlns="http://schemas.openxmlformats.org/spreadsheetml/2006/main" count="115" uniqueCount="47">
  <si>
    <t>Valós</t>
  </si>
  <si>
    <t>Képzetes</t>
  </si>
  <si>
    <t>Lambda 1</t>
  </si>
  <si>
    <t>Lambda 2</t>
  </si>
  <si>
    <t>=</t>
  </si>
  <si>
    <t>Sjtvekt 1</t>
  </si>
  <si>
    <t>Sjtvekt 2</t>
  </si>
  <si>
    <t>Sjtért. 1 valós</t>
  </si>
  <si>
    <t>Sjtért 1 képzetes</t>
  </si>
  <si>
    <t>A determinánsa:</t>
  </si>
  <si>
    <t>A lambdás mátrix (det(A-lambda*I)=0?):</t>
  </si>
  <si>
    <t>Összegek összege</t>
  </si>
  <si>
    <t>A mátrix interpretáció</t>
  </si>
  <si>
    <t>Négyzetösszeg</t>
  </si>
  <si>
    <t>Négyzetösszegek összege</t>
  </si>
  <si>
    <t>Négyzet- összeg 1</t>
  </si>
  <si>
    <t>Négyzet- összeg 2</t>
  </si>
  <si>
    <t>Sajátértékek</t>
  </si>
  <si>
    <t>A sorozat</t>
  </si>
  <si>
    <t>Négyzetösszegek</t>
  </si>
  <si>
    <t>Valós eset</t>
  </si>
  <si>
    <t>Egymást követő tagok hányadosa</t>
  </si>
  <si>
    <t>Komplex eset</t>
  </si>
  <si>
    <t>Képzetes rész</t>
  </si>
  <si>
    <t>Valós rész</t>
  </si>
  <si>
    <t>Munka</t>
  </si>
  <si>
    <t>A természetes indexelés indikátora</t>
  </si>
  <si>
    <t>Sjtért. 2 alós</t>
  </si>
  <si>
    <t>Sjtért 2 képzetes</t>
  </si>
  <si>
    <t>A konjugált sor képzése:</t>
  </si>
  <si>
    <t>Norma:</t>
  </si>
  <si>
    <t>Valós:</t>
  </si>
  <si>
    <t>Képzetes:</t>
  </si>
  <si>
    <t>Az első trig. Arg.</t>
  </si>
  <si>
    <t>Fyperbolic arg.</t>
  </si>
  <si>
    <t>Második trig. Arg</t>
  </si>
  <si>
    <t>"Teljes" norma:</t>
  </si>
  <si>
    <t>Maga a sor</t>
  </si>
  <si>
    <t>A konjugáltja</t>
  </si>
  <si>
    <t>A hányadosuk</t>
  </si>
  <si>
    <t>1 alá hozva az abszolút értéket</t>
  </si>
  <si>
    <t>Aminek a logaritmusát kell venni</t>
  </si>
  <si>
    <t>Maga a Fiperbolic</t>
  </si>
  <si>
    <t>A izé plusz B izé</t>
  </si>
  <si>
    <t>Képzetes  (arctan)</t>
  </si>
  <si>
    <r>
      <t>2*f</t>
    </r>
    <r>
      <rPr>
        <i/>
        <vertAlign val="subscript"/>
        <sz val="12"/>
        <color indexed="8"/>
        <rFont val="Times New Roman"/>
        <family val="1"/>
      </rPr>
      <t>m+1</t>
    </r>
    <r>
      <rPr>
        <i/>
        <sz val="12"/>
        <color indexed="8"/>
        <rFont val="Times New Roman"/>
        <family val="1"/>
      </rPr>
      <t>*f</t>
    </r>
    <r>
      <rPr>
        <i/>
        <vertAlign val="subscript"/>
        <sz val="12"/>
        <color indexed="8"/>
        <rFont val="Times New Roman"/>
        <family val="1"/>
      </rPr>
      <t>m-1</t>
    </r>
    <r>
      <rPr>
        <i/>
        <sz val="12"/>
        <color indexed="8"/>
        <rFont val="Times New Roman"/>
        <family val="1"/>
      </rPr>
      <t xml:space="preserve"> + 3* f</t>
    </r>
    <r>
      <rPr>
        <i/>
        <vertAlign val="subscript"/>
        <sz val="12"/>
        <color indexed="8"/>
        <rFont val="Times New Roman"/>
        <family val="1"/>
      </rPr>
      <t>m</t>
    </r>
    <r>
      <rPr>
        <i/>
        <vertAlign val="superscript"/>
        <sz val="12"/>
        <color indexed="8"/>
        <rFont val="Times New Roman"/>
        <family val="1"/>
      </rPr>
      <t>2</t>
    </r>
  </si>
  <si>
    <t>Gyök négyzetössz. Össz.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</si>
</sst>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8"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i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i/>
      <sz val="10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5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4" fillId="0" borderId="32" xfId="0" applyFont="1" applyBorder="1" applyAlignment="1">
      <alignment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19" fillId="0" borderId="16" xfId="0" applyFont="1" applyBorder="1" applyAlignment="1">
      <alignment horizontal="center"/>
    </xf>
    <xf numFmtId="0" fontId="19" fillId="0" borderId="31" xfId="0" applyFont="1" applyBorder="1" applyAlignment="1">
      <alignment horizontal="centerContinuous" vertical="center"/>
    </xf>
    <xf numFmtId="0" fontId="19" fillId="0" borderId="16" xfId="0" applyFont="1" applyBorder="1" applyAlignment="1">
      <alignment horizontal="centerContinuous" vertical="center" wrapText="1"/>
    </xf>
    <xf numFmtId="0" fontId="19" fillId="0" borderId="30" xfId="0" applyFont="1" applyBorder="1" applyAlignment="1">
      <alignment horizontal="centerContinuous" vertical="center"/>
    </xf>
    <xf numFmtId="0" fontId="24" fillId="0" borderId="33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Continuous"/>
    </xf>
    <xf numFmtId="0" fontId="26" fillId="0" borderId="35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4" fillId="0" borderId="35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0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30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1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16" xfId="0" applyFont="1" applyBorder="1" applyAlignment="1">
      <alignment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4" fillId="0" borderId="45" xfId="0" applyFont="1" applyBorder="1" applyAlignment="1">
      <alignment/>
    </xf>
    <xf numFmtId="0" fontId="24" fillId="0" borderId="4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2"/>
  <sheetViews>
    <sheetView workbookViewId="0" topLeftCell="A1">
      <selection activeCell="G28" sqref="G28"/>
    </sheetView>
  </sheetViews>
  <sheetFormatPr defaultColWidth="9.140625" defaultRowHeight="15"/>
  <cols>
    <col min="2" max="2" width="12.8515625" style="0" customWidth="1"/>
    <col min="3" max="3" width="15.8515625" style="0" customWidth="1"/>
    <col min="5" max="5" width="14.00390625" style="0" customWidth="1"/>
    <col min="6" max="6" width="14.8515625" style="0" customWidth="1"/>
    <col min="7" max="7" width="16.7109375" style="0" customWidth="1"/>
    <col min="8" max="8" width="16.28125" style="0" customWidth="1"/>
    <col min="9" max="9" width="0.71875" style="0" hidden="1" customWidth="1"/>
  </cols>
  <sheetData>
    <row r="3" spans="2:9" ht="15">
      <c r="B3" s="58" t="s">
        <v>20</v>
      </c>
      <c r="C3" s="59"/>
      <c r="E3" s="58" t="s">
        <v>22</v>
      </c>
      <c r="F3" s="67"/>
      <c r="G3" s="67"/>
      <c r="H3" s="68"/>
      <c r="I3" s="8" t="s">
        <v>25</v>
      </c>
    </row>
    <row r="4" spans="2:8" ht="30">
      <c r="B4" s="65" t="s">
        <v>18</v>
      </c>
      <c r="C4" s="66" t="s">
        <v>21</v>
      </c>
      <c r="E4" s="72" t="s">
        <v>18</v>
      </c>
      <c r="F4" s="70"/>
      <c r="G4" s="71" t="s">
        <v>21</v>
      </c>
      <c r="H4" s="70"/>
    </row>
    <row r="5" spans="2:8" ht="15">
      <c r="B5" s="62">
        <f aca="true" t="shared" si="0" ref="B5:B14">B7-B6</f>
        <v>-443</v>
      </c>
      <c r="C5" s="61">
        <f>B6/B5</f>
        <v>-0.618510158013544</v>
      </c>
      <c r="E5" s="69" t="s">
        <v>24</v>
      </c>
      <c r="F5" s="69" t="s">
        <v>23</v>
      </c>
      <c r="G5" s="69" t="s">
        <v>24</v>
      </c>
      <c r="H5" s="69" t="s">
        <v>23</v>
      </c>
    </row>
    <row r="6" spans="2:9" ht="15">
      <c r="B6" s="62">
        <f t="shared" si="0"/>
        <v>274</v>
      </c>
      <c r="C6" s="63">
        <f aca="true" t="shared" si="1" ref="C6:C31">B7/B6</f>
        <v>-0.6167883211678832</v>
      </c>
      <c r="E6" s="62">
        <f aca="true" t="shared" si="2" ref="E6:F14">E8-E7</f>
        <v>196</v>
      </c>
      <c r="F6" s="62">
        <f t="shared" si="2"/>
        <v>-542</v>
      </c>
      <c r="G6" s="60">
        <f>(E7*E6+F7*F6)/I6</f>
        <v>-0.617996267084111</v>
      </c>
      <c r="H6" s="61">
        <f>(F7*E6-E7*F6)/I6</f>
        <v>0.00023481245108073937</v>
      </c>
      <c r="I6">
        <f>E6*E6+F6*F6</f>
        <v>332180</v>
      </c>
    </row>
    <row r="7" spans="2:9" ht="15">
      <c r="B7" s="62">
        <f t="shared" si="0"/>
        <v>-169</v>
      </c>
      <c r="C7" s="63">
        <f t="shared" si="1"/>
        <v>-0.621301775147929</v>
      </c>
      <c r="E7" s="62">
        <f t="shared" si="2"/>
        <v>-121</v>
      </c>
      <c r="F7" s="62">
        <f t="shared" si="2"/>
        <v>335</v>
      </c>
      <c r="G7" s="62">
        <f aca="true" t="shared" si="3" ref="G7:G31">(E8*E7+F8*F7)/I7</f>
        <v>-0.6181325177746598</v>
      </c>
      <c r="H7" s="63">
        <f aca="true" t="shared" si="4" ref="H7:H31">(F8*E7-E8*F7)/I7</f>
        <v>-0.0006148219381079249</v>
      </c>
      <c r="I7">
        <f aca="true" t="shared" si="5" ref="I7:I32">E7*E7+F7*F7</f>
        <v>126866</v>
      </c>
    </row>
    <row r="8" spans="2:9" ht="15">
      <c r="B8" s="62">
        <f t="shared" si="0"/>
        <v>105</v>
      </c>
      <c r="C8" s="63">
        <f t="shared" si="1"/>
        <v>-0.6095238095238096</v>
      </c>
      <c r="E8" s="62">
        <f t="shared" si="2"/>
        <v>75</v>
      </c>
      <c r="F8" s="62">
        <f t="shared" si="2"/>
        <v>-207</v>
      </c>
      <c r="G8" s="62">
        <f t="shared" si="3"/>
        <v>-0.6177744770392375</v>
      </c>
      <c r="H8" s="63">
        <f t="shared" si="4"/>
        <v>0.0016091100383710856</v>
      </c>
      <c r="I8">
        <f t="shared" si="5"/>
        <v>48474</v>
      </c>
    </row>
    <row r="9" spans="2:9" ht="15">
      <c r="B9" s="62">
        <f t="shared" si="0"/>
        <v>-64</v>
      </c>
      <c r="C9" s="63">
        <f t="shared" si="1"/>
        <v>-0.640625</v>
      </c>
      <c r="E9" s="62">
        <f t="shared" si="2"/>
        <v>-46</v>
      </c>
      <c r="F9" s="62">
        <f t="shared" si="2"/>
        <v>128</v>
      </c>
      <c r="G9" s="62">
        <f t="shared" si="3"/>
        <v>-0.6187027027027027</v>
      </c>
      <c r="H9" s="63">
        <f t="shared" si="4"/>
        <v>-0.004216216216216216</v>
      </c>
      <c r="I9">
        <f t="shared" si="5"/>
        <v>18500</v>
      </c>
    </row>
    <row r="10" spans="2:9" ht="15">
      <c r="B10" s="62">
        <f t="shared" si="0"/>
        <v>41</v>
      </c>
      <c r="C10" s="63">
        <f t="shared" si="1"/>
        <v>-0.5609756097560976</v>
      </c>
      <c r="E10" s="62">
        <f t="shared" si="2"/>
        <v>29</v>
      </c>
      <c r="F10" s="62">
        <f t="shared" si="2"/>
        <v>-79</v>
      </c>
      <c r="G10" s="62">
        <f t="shared" si="3"/>
        <v>-0.616210110138379</v>
      </c>
      <c r="H10" s="63">
        <f t="shared" si="4"/>
        <v>0.011013837898898616</v>
      </c>
      <c r="I10">
        <f t="shared" si="5"/>
        <v>7082</v>
      </c>
    </row>
    <row r="11" spans="2:9" ht="15">
      <c r="B11" s="62">
        <f t="shared" si="0"/>
        <v>-23</v>
      </c>
      <c r="C11" s="63">
        <f t="shared" si="1"/>
        <v>-0.782608695652174</v>
      </c>
      <c r="E11" s="62">
        <f t="shared" si="2"/>
        <v>-17</v>
      </c>
      <c r="F11" s="62">
        <f t="shared" si="2"/>
        <v>49</v>
      </c>
      <c r="G11" s="62">
        <f t="shared" si="3"/>
        <v>-0.6223048327137547</v>
      </c>
      <c r="H11" s="63">
        <f t="shared" si="4"/>
        <v>-0.02899628252788104</v>
      </c>
      <c r="I11">
        <f t="shared" si="5"/>
        <v>2690</v>
      </c>
    </row>
    <row r="12" spans="2:9" ht="15">
      <c r="B12" s="62">
        <f t="shared" si="0"/>
        <v>18</v>
      </c>
      <c r="C12" s="63">
        <f t="shared" si="1"/>
        <v>-0.2777777777777778</v>
      </c>
      <c r="E12" s="62">
        <f t="shared" si="2"/>
        <v>12</v>
      </c>
      <c r="F12" s="62">
        <f t="shared" si="2"/>
        <v>-30</v>
      </c>
      <c r="G12" s="62">
        <f t="shared" si="3"/>
        <v>-0.603448275862069</v>
      </c>
      <c r="H12" s="63">
        <f t="shared" si="4"/>
        <v>0.07471264367816093</v>
      </c>
      <c r="I12">
        <f t="shared" si="5"/>
        <v>1044</v>
      </c>
    </row>
    <row r="13" spans="2:9" ht="15">
      <c r="B13" s="62">
        <f t="shared" si="0"/>
        <v>-5</v>
      </c>
      <c r="C13" s="63">
        <f t="shared" si="1"/>
        <v>-2.6</v>
      </c>
      <c r="E13" s="62">
        <f t="shared" si="2"/>
        <v>-5</v>
      </c>
      <c r="F13" s="62">
        <f t="shared" si="2"/>
        <v>19</v>
      </c>
      <c r="G13" s="62">
        <f t="shared" si="3"/>
        <v>-0.6321243523316062</v>
      </c>
      <c r="H13" s="63">
        <f t="shared" si="4"/>
        <v>-0.20207253886010362</v>
      </c>
      <c r="I13">
        <f t="shared" si="5"/>
        <v>386</v>
      </c>
    </row>
    <row r="14" spans="2:9" ht="15">
      <c r="B14" s="62">
        <f t="shared" si="0"/>
        <v>13</v>
      </c>
      <c r="C14" s="63">
        <f t="shared" si="1"/>
        <v>0.6153846153846154</v>
      </c>
      <c r="E14" s="62">
        <f t="shared" si="2"/>
        <v>7</v>
      </c>
      <c r="F14" s="62">
        <f t="shared" si="2"/>
        <v>-11</v>
      </c>
      <c r="G14" s="62">
        <f t="shared" si="3"/>
        <v>-0.43529411764705883</v>
      </c>
      <c r="H14" s="63">
        <f t="shared" si="4"/>
        <v>0.4588235294117647</v>
      </c>
      <c r="I14">
        <f t="shared" si="5"/>
        <v>170</v>
      </c>
    </row>
    <row r="15" spans="2:9" ht="15">
      <c r="B15" s="62">
        <f>B17-B16</f>
        <v>8</v>
      </c>
      <c r="C15" s="63">
        <f t="shared" si="1"/>
        <v>2.625</v>
      </c>
      <c r="E15" s="62">
        <f>E17-E16</f>
        <v>2</v>
      </c>
      <c r="F15" s="62">
        <f>F17-F16</f>
        <v>8</v>
      </c>
      <c r="G15" s="62">
        <f t="shared" si="3"/>
        <v>-0.08823529411764706</v>
      </c>
      <c r="H15" s="63">
        <f t="shared" si="4"/>
        <v>-1.1470588235294117</v>
      </c>
      <c r="I15">
        <f t="shared" si="5"/>
        <v>68</v>
      </c>
    </row>
    <row r="16" spans="2:9" ht="15">
      <c r="B16" s="64">
        <v>21</v>
      </c>
      <c r="C16" s="63">
        <f t="shared" si="1"/>
        <v>1.380952380952381</v>
      </c>
      <c r="E16" s="87">
        <v>9</v>
      </c>
      <c r="F16" s="73">
        <v>-3</v>
      </c>
      <c r="G16" s="62">
        <f t="shared" si="3"/>
        <v>0.9333333333333333</v>
      </c>
      <c r="H16" s="63">
        <f t="shared" si="4"/>
        <v>0.8666666666666667</v>
      </c>
      <c r="I16">
        <f t="shared" si="5"/>
        <v>90</v>
      </c>
    </row>
    <row r="17" spans="2:9" ht="15">
      <c r="B17" s="64">
        <v>29</v>
      </c>
      <c r="C17" s="63">
        <f t="shared" si="1"/>
        <v>1.7241379310344827</v>
      </c>
      <c r="E17" s="87">
        <v>11</v>
      </c>
      <c r="F17" s="73">
        <v>5</v>
      </c>
      <c r="G17" s="62">
        <f t="shared" si="3"/>
        <v>1.5753424657534247</v>
      </c>
      <c r="H17" s="63">
        <f t="shared" si="4"/>
        <v>-0.5342465753424658</v>
      </c>
      <c r="I17">
        <f t="shared" si="5"/>
        <v>146</v>
      </c>
    </row>
    <row r="18" spans="2:9" ht="15">
      <c r="B18" s="62">
        <f>B16+B17</f>
        <v>50</v>
      </c>
      <c r="C18" s="63">
        <f t="shared" si="1"/>
        <v>1.58</v>
      </c>
      <c r="E18" s="62">
        <f>E16+E17</f>
        <v>20</v>
      </c>
      <c r="F18" s="62">
        <f>F16+F17</f>
        <v>2</v>
      </c>
      <c r="G18" s="62">
        <f t="shared" si="3"/>
        <v>1.5693069306930694</v>
      </c>
      <c r="H18" s="63">
        <f t="shared" si="4"/>
        <v>0.19306930693069307</v>
      </c>
      <c r="I18">
        <f t="shared" si="5"/>
        <v>404</v>
      </c>
    </row>
    <row r="19" spans="2:9" ht="15">
      <c r="B19" s="62">
        <f aca="true" t="shared" si="6" ref="B19:B32">B17+B18</f>
        <v>79</v>
      </c>
      <c r="C19" s="63">
        <f t="shared" si="1"/>
        <v>1.6329113924050633</v>
      </c>
      <c r="E19" s="62">
        <f aca="true" t="shared" si="7" ref="E19:F32">E17+E18</f>
        <v>31</v>
      </c>
      <c r="F19" s="62">
        <f t="shared" si="7"/>
        <v>7</v>
      </c>
      <c r="G19" s="62">
        <f t="shared" si="3"/>
        <v>1.6277227722772276</v>
      </c>
      <c r="H19" s="63">
        <f t="shared" si="4"/>
        <v>-0.07722772277227723</v>
      </c>
      <c r="I19">
        <f t="shared" si="5"/>
        <v>1010</v>
      </c>
    </row>
    <row r="20" spans="2:9" ht="15">
      <c r="B20" s="62">
        <f t="shared" si="6"/>
        <v>129</v>
      </c>
      <c r="C20" s="63">
        <f t="shared" si="1"/>
        <v>1.6124031007751938</v>
      </c>
      <c r="E20" s="62">
        <f t="shared" si="7"/>
        <v>51</v>
      </c>
      <c r="F20" s="62">
        <f t="shared" si="7"/>
        <v>9</v>
      </c>
      <c r="G20" s="62">
        <f t="shared" si="3"/>
        <v>1.6129753914988814</v>
      </c>
      <c r="H20" s="63">
        <f t="shared" si="4"/>
        <v>0.029082774049217</v>
      </c>
      <c r="I20">
        <f t="shared" si="5"/>
        <v>2682</v>
      </c>
    </row>
    <row r="21" spans="2:9" ht="15">
      <c r="B21" s="62">
        <f t="shared" si="6"/>
        <v>208</v>
      </c>
      <c r="C21" s="63">
        <f t="shared" si="1"/>
        <v>1.6201923076923077</v>
      </c>
      <c r="E21" s="62">
        <f t="shared" si="7"/>
        <v>82</v>
      </c>
      <c r="F21" s="62">
        <f t="shared" si="7"/>
        <v>16</v>
      </c>
      <c r="G21" s="62">
        <f t="shared" si="3"/>
        <v>1.6197707736389684</v>
      </c>
      <c r="H21" s="63">
        <f t="shared" si="4"/>
        <v>-0.011174785100286532</v>
      </c>
      <c r="I21">
        <f t="shared" si="5"/>
        <v>6980</v>
      </c>
    </row>
    <row r="22" spans="2:9" ht="15">
      <c r="B22" s="62">
        <f t="shared" si="6"/>
        <v>337</v>
      </c>
      <c r="C22" s="63">
        <f t="shared" si="1"/>
        <v>1.6172106824925816</v>
      </c>
      <c r="E22" s="62">
        <f t="shared" si="7"/>
        <v>133</v>
      </c>
      <c r="F22" s="62">
        <f t="shared" si="7"/>
        <v>25</v>
      </c>
      <c r="G22" s="62">
        <f t="shared" si="3"/>
        <v>1.617341924210986</v>
      </c>
      <c r="H22" s="63">
        <f t="shared" si="4"/>
        <v>0.004259036802446216</v>
      </c>
      <c r="I22">
        <f t="shared" si="5"/>
        <v>18314</v>
      </c>
    </row>
    <row r="23" spans="2:9" ht="15">
      <c r="B23" s="62">
        <f t="shared" si="6"/>
        <v>545</v>
      </c>
      <c r="C23" s="63">
        <f t="shared" si="1"/>
        <v>1.618348623853211</v>
      </c>
      <c r="E23" s="62">
        <f t="shared" si="7"/>
        <v>215</v>
      </c>
      <c r="F23" s="62">
        <f t="shared" si="7"/>
        <v>41</v>
      </c>
      <c r="G23" s="62">
        <f t="shared" si="3"/>
        <v>1.6182941593954827</v>
      </c>
      <c r="H23" s="63">
        <f t="shared" si="4"/>
        <v>-0.0016281885358827705</v>
      </c>
      <c r="I23">
        <f t="shared" si="5"/>
        <v>47906</v>
      </c>
    </row>
    <row r="24" spans="2:9" ht="15">
      <c r="B24" s="62">
        <f t="shared" si="6"/>
        <v>882</v>
      </c>
      <c r="C24" s="63">
        <f t="shared" si="1"/>
        <v>1.6179138321995465</v>
      </c>
      <c r="E24" s="62">
        <f t="shared" si="7"/>
        <v>348</v>
      </c>
      <c r="F24" s="62">
        <f t="shared" si="7"/>
        <v>66</v>
      </c>
      <c r="G24" s="62">
        <f t="shared" si="3"/>
        <v>1.6179340028694404</v>
      </c>
      <c r="H24" s="63">
        <f t="shared" si="4"/>
        <v>0.0006217120994739359</v>
      </c>
      <c r="I24">
        <f t="shared" si="5"/>
        <v>125460</v>
      </c>
    </row>
    <row r="25" spans="2:9" ht="15">
      <c r="B25" s="62">
        <f t="shared" si="6"/>
        <v>1427</v>
      </c>
      <c r="C25" s="63">
        <f t="shared" si="1"/>
        <v>1.6180798878766642</v>
      </c>
      <c r="E25" s="62">
        <f t="shared" si="7"/>
        <v>563</v>
      </c>
      <c r="F25" s="62">
        <f t="shared" si="7"/>
        <v>107</v>
      </c>
      <c r="G25" s="62">
        <f t="shared" si="3"/>
        <v>1.6180720910546924</v>
      </c>
      <c r="H25" s="63">
        <f t="shared" si="4"/>
        <v>-0.00023750220755257021</v>
      </c>
      <c r="I25">
        <f t="shared" si="5"/>
        <v>328418</v>
      </c>
    </row>
    <row r="26" spans="2:9" ht="15">
      <c r="B26" s="62">
        <f t="shared" si="6"/>
        <v>2309</v>
      </c>
      <c r="C26" s="63">
        <f t="shared" si="1"/>
        <v>1.6180164573408402</v>
      </c>
      <c r="E26" s="62">
        <f t="shared" si="7"/>
        <v>911</v>
      </c>
      <c r="F26" s="62">
        <f t="shared" si="7"/>
        <v>173</v>
      </c>
      <c r="G26" s="62">
        <f t="shared" si="3"/>
        <v>1.618019421992208</v>
      </c>
      <c r="H26" s="63">
        <f t="shared" si="4"/>
        <v>9.071349654009421E-05</v>
      </c>
      <c r="I26">
        <f t="shared" si="5"/>
        <v>859850</v>
      </c>
    </row>
    <row r="27" spans="2:9" ht="15">
      <c r="B27" s="62">
        <f t="shared" si="6"/>
        <v>3736</v>
      </c>
      <c r="C27" s="63">
        <f t="shared" si="1"/>
        <v>1.6180406852248395</v>
      </c>
      <c r="E27" s="62">
        <f t="shared" si="7"/>
        <v>1474</v>
      </c>
      <c r="F27" s="62">
        <f t="shared" si="7"/>
        <v>280</v>
      </c>
      <c r="G27" s="62">
        <f t="shared" si="3"/>
        <v>1.6180395508636758</v>
      </c>
      <c r="H27" s="63">
        <f t="shared" si="4"/>
        <v>-3.465009622065181E-05</v>
      </c>
      <c r="I27">
        <f t="shared" si="5"/>
        <v>2251076</v>
      </c>
    </row>
    <row r="28" spans="2:9" ht="15">
      <c r="B28" s="62">
        <f t="shared" si="6"/>
        <v>6045</v>
      </c>
      <c r="C28" s="63">
        <f t="shared" si="1"/>
        <v>1.6180314309346568</v>
      </c>
      <c r="E28" s="62">
        <f t="shared" si="7"/>
        <v>2385</v>
      </c>
      <c r="F28" s="62">
        <f t="shared" si="7"/>
        <v>453</v>
      </c>
      <c r="G28" s="62">
        <f t="shared" si="3"/>
        <v>1.618031863935356</v>
      </c>
      <c r="H28" s="63">
        <f t="shared" si="4"/>
        <v>1.3235068043520977E-05</v>
      </c>
      <c r="I28">
        <f t="shared" si="5"/>
        <v>5893434</v>
      </c>
    </row>
    <row r="29" spans="2:9" ht="15">
      <c r="B29" s="62">
        <f t="shared" si="6"/>
        <v>9781</v>
      </c>
      <c r="C29" s="63">
        <f t="shared" si="1"/>
        <v>1.6180349657499233</v>
      </c>
      <c r="E29" s="62">
        <f t="shared" si="7"/>
        <v>3859</v>
      </c>
      <c r="F29" s="62">
        <f t="shared" si="7"/>
        <v>733</v>
      </c>
      <c r="G29" s="62">
        <f t="shared" si="3"/>
        <v>1.6180348003165432</v>
      </c>
      <c r="H29" s="63">
        <f t="shared" si="4"/>
        <v>-5.0553594263333675E-06</v>
      </c>
      <c r="I29">
        <f t="shared" si="5"/>
        <v>15429170</v>
      </c>
    </row>
    <row r="30" spans="2:9" ht="15">
      <c r="B30" s="62">
        <f t="shared" si="6"/>
        <v>15826</v>
      </c>
      <c r="C30" s="63">
        <f t="shared" si="1"/>
        <v>1.6180336155693162</v>
      </c>
      <c r="E30" s="62">
        <f t="shared" si="7"/>
        <v>6244</v>
      </c>
      <c r="F30" s="62">
        <f t="shared" si="7"/>
        <v>1186</v>
      </c>
      <c r="G30" s="62">
        <f t="shared" si="3"/>
        <v>1.6180336787531417</v>
      </c>
      <c r="H30" s="63">
        <f t="shared" si="4"/>
        <v>1.930973538433751E-06</v>
      </c>
      <c r="I30">
        <f t="shared" si="5"/>
        <v>40394132</v>
      </c>
    </row>
    <row r="31" spans="2:9" ht="15">
      <c r="B31" s="62">
        <f t="shared" si="6"/>
        <v>25607</v>
      </c>
      <c r="C31" s="63">
        <f t="shared" si="1"/>
        <v>1.6180341312922248</v>
      </c>
      <c r="E31" s="62">
        <f t="shared" si="7"/>
        <v>10103</v>
      </c>
      <c r="F31" s="62">
        <f t="shared" si="7"/>
        <v>1919</v>
      </c>
      <c r="G31" s="62">
        <f t="shared" si="3"/>
        <v>1.6180341071572606</v>
      </c>
      <c r="H31" s="63">
        <f t="shared" si="4"/>
        <v>-7.375665429225431E-07</v>
      </c>
      <c r="I31">
        <f t="shared" si="5"/>
        <v>105753170</v>
      </c>
    </row>
    <row r="32" spans="2:9" ht="15">
      <c r="B32" s="62">
        <f t="shared" si="6"/>
        <v>41433</v>
      </c>
      <c r="C32" s="63"/>
      <c r="E32" s="62">
        <f t="shared" si="7"/>
        <v>16347</v>
      </c>
      <c r="F32" s="62">
        <f t="shared" si="7"/>
        <v>3105</v>
      </c>
      <c r="G32" s="62"/>
      <c r="H32" s="63"/>
      <c r="I32">
        <f t="shared" si="5"/>
        <v>276865434</v>
      </c>
    </row>
  </sheetData>
  <sheetProtection password="DD35" sheet="1" objects="1" scenarios="1"/>
  <protectedRanges>
    <protectedRange sqref="E16:F17" name="Tartom?ny2"/>
    <protectedRange sqref="B16:B17" name="Tartom?ny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9" sqref="F29"/>
    </sheetView>
  </sheetViews>
  <sheetFormatPr defaultColWidth="9.140625" defaultRowHeight="15"/>
  <cols>
    <col min="2" max="3" width="10.7109375" style="0" customWidth="1"/>
    <col min="4" max="4" width="10.00390625" style="0" customWidth="1"/>
    <col min="5" max="5" width="17.57421875" style="0" customWidth="1"/>
    <col min="6" max="6" width="43.00390625" style="0" customWidth="1"/>
  </cols>
  <sheetData>
    <row r="1" ht="15">
      <c r="A1" s="51">
        <f>(SQRT(5)+1)/2</f>
        <v>1.618033988749895</v>
      </c>
    </row>
    <row r="2" ht="15">
      <c r="A2" s="34"/>
    </row>
    <row r="3" spans="1:4" ht="15">
      <c r="A3" s="34"/>
      <c r="C3" s="52" t="s">
        <v>17</v>
      </c>
      <c r="D3" s="53"/>
    </row>
    <row r="4" spans="1:6" ht="15">
      <c r="A4" s="34"/>
      <c r="B4" s="54" t="s">
        <v>18</v>
      </c>
      <c r="C4" s="54" t="s">
        <v>2</v>
      </c>
      <c r="D4" s="54" t="s">
        <v>3</v>
      </c>
      <c r="E4" s="54" t="s">
        <v>19</v>
      </c>
      <c r="F4" s="74" t="s">
        <v>26</v>
      </c>
    </row>
    <row r="5" spans="1:6" ht="15">
      <c r="A5" s="34"/>
      <c r="B5" s="55">
        <f aca="true" t="shared" si="0" ref="B5:B11">B7-B6</f>
        <v>-52</v>
      </c>
      <c r="C5" s="55">
        <f>B6-$A$1*B5</f>
        <v>117.13776741499453</v>
      </c>
      <c r="D5" s="55">
        <f>B6+B5/$A$1</f>
        <v>0.8622325850054722</v>
      </c>
      <c r="E5" s="55"/>
      <c r="F5" s="76"/>
    </row>
    <row r="6" spans="2:6" ht="15">
      <c r="B6" s="13">
        <f t="shared" si="0"/>
        <v>33</v>
      </c>
      <c r="C6" s="13">
        <f aca="true" t="shared" si="1" ref="C6:C25">B7-$A$1*B6</f>
        <v>-72.39512162874652</v>
      </c>
      <c r="D6" s="13">
        <f aca="true" t="shared" si="2" ref="D6:D25">B7+B6/$A$1</f>
        <v>1.39512162874653</v>
      </c>
      <c r="E6" s="13">
        <f>2*B5*B7+3*B6*B6</f>
        <v>5243</v>
      </c>
      <c r="F6" s="77"/>
    </row>
    <row r="7" spans="2:6" ht="15">
      <c r="B7" s="13">
        <f t="shared" si="0"/>
        <v>-19</v>
      </c>
      <c r="C7" s="13">
        <f t="shared" si="1"/>
        <v>44.742645786248005</v>
      </c>
      <c r="D7" s="13">
        <f t="shared" si="2"/>
        <v>2.2573542137519986</v>
      </c>
      <c r="E7" s="13">
        <f aca="true" t="shared" si="3" ref="E7:E25">2*B6*B8+3*B7*B7</f>
        <v>2007</v>
      </c>
      <c r="F7" s="78" t="str">
        <f>IF(AND(E7&lt;E6,E7&lt;E8),"A természetes indexelés 0 indexű eleme","                                                                                        ")</f>
        <v>                                                                                        </v>
      </c>
    </row>
    <row r="8" spans="2:6" ht="15">
      <c r="B8" s="13">
        <f t="shared" si="0"/>
        <v>14</v>
      </c>
      <c r="C8" s="13">
        <f t="shared" si="1"/>
        <v>-27.65247584249853</v>
      </c>
      <c r="D8" s="13">
        <f t="shared" si="2"/>
        <v>3.652475842498527</v>
      </c>
      <c r="E8" s="56">
        <f t="shared" si="3"/>
        <v>778</v>
      </c>
      <c r="F8" s="78" t="str">
        <f aca="true" t="shared" si="4" ref="F8:F24">IF(AND(E8&lt;E7,E8&lt;E9),"A természetes indexelés 0 indexű eleme","                                                                                        ")</f>
        <v>                                                                                        </v>
      </c>
    </row>
    <row r="9" spans="2:6" ht="15">
      <c r="B9" s="13">
        <f t="shared" si="0"/>
        <v>-5</v>
      </c>
      <c r="C9" s="13">
        <f t="shared" si="1"/>
        <v>17.090169943749473</v>
      </c>
      <c r="D9" s="13">
        <f t="shared" si="2"/>
        <v>5.9098300562505255</v>
      </c>
      <c r="E9" s="13">
        <f t="shared" si="3"/>
        <v>327</v>
      </c>
      <c r="F9" s="78" t="str">
        <f t="shared" si="4"/>
        <v>                                                                                        </v>
      </c>
    </row>
    <row r="10" spans="2:6" ht="15">
      <c r="B10" s="13">
        <f t="shared" si="0"/>
        <v>9</v>
      </c>
      <c r="C10" s="13">
        <f t="shared" si="1"/>
        <v>-10.562305898749054</v>
      </c>
      <c r="D10" s="13">
        <f t="shared" si="2"/>
        <v>9.562305898749052</v>
      </c>
      <c r="E10" s="13">
        <f t="shared" si="3"/>
        <v>203</v>
      </c>
      <c r="F10" s="78" t="str">
        <f t="shared" si="4"/>
        <v>A természetes indexelés 0 indexű eleme</v>
      </c>
    </row>
    <row r="11" spans="2:6" ht="15">
      <c r="B11" s="13">
        <f t="shared" si="0"/>
        <v>4</v>
      </c>
      <c r="C11" s="13">
        <f t="shared" si="1"/>
        <v>6.52786404500042</v>
      </c>
      <c r="D11" s="13">
        <f t="shared" si="2"/>
        <v>15.47213595499958</v>
      </c>
      <c r="E11" s="13">
        <f t="shared" si="3"/>
        <v>282</v>
      </c>
      <c r="F11" s="78" t="str">
        <f t="shared" si="4"/>
        <v>                                                                                        </v>
      </c>
    </row>
    <row r="12" spans="2:6" ht="15">
      <c r="B12" s="13">
        <f>B14-B13</f>
        <v>13</v>
      </c>
      <c r="C12" s="13">
        <f t="shared" si="1"/>
        <v>-4.034441853748632</v>
      </c>
      <c r="D12" s="13">
        <f t="shared" si="2"/>
        <v>25.034441853748632</v>
      </c>
      <c r="E12" s="13">
        <f t="shared" si="3"/>
        <v>643</v>
      </c>
      <c r="F12" s="78" t="str">
        <f t="shared" si="4"/>
        <v>                                                                                        </v>
      </c>
    </row>
    <row r="13" spans="2:6" ht="15">
      <c r="B13" s="57">
        <v>17</v>
      </c>
      <c r="C13" s="13">
        <f t="shared" si="1"/>
        <v>2.4934221912517884</v>
      </c>
      <c r="D13" s="13">
        <f t="shared" si="2"/>
        <v>40.50657780874821</v>
      </c>
      <c r="E13" s="13">
        <f t="shared" si="3"/>
        <v>1647</v>
      </c>
      <c r="F13" s="78" t="str">
        <f t="shared" si="4"/>
        <v>                                                                                        </v>
      </c>
    </row>
    <row r="14" spans="2:6" ht="15">
      <c r="B14" s="57">
        <v>30</v>
      </c>
      <c r="C14" s="13">
        <f t="shared" si="1"/>
        <v>-1.5410196624968506</v>
      </c>
      <c r="D14" s="13">
        <f t="shared" si="2"/>
        <v>65.54101966249684</v>
      </c>
      <c r="E14" s="13">
        <f t="shared" si="3"/>
        <v>4298</v>
      </c>
      <c r="F14" s="78" t="str">
        <f t="shared" si="4"/>
        <v>                                                                                        </v>
      </c>
    </row>
    <row r="15" spans="2:6" ht="15">
      <c r="B15" s="13">
        <f>B14+B13</f>
        <v>47</v>
      </c>
      <c r="C15" s="13">
        <f t="shared" si="1"/>
        <v>0.9524025287549449</v>
      </c>
      <c r="D15" s="13">
        <f t="shared" si="2"/>
        <v>106.04759747124506</v>
      </c>
      <c r="E15" s="13">
        <f t="shared" si="3"/>
        <v>11247</v>
      </c>
      <c r="F15" s="78" t="str">
        <f t="shared" si="4"/>
        <v>                                                                                        </v>
      </c>
    </row>
    <row r="16" spans="2:6" ht="15">
      <c r="B16" s="13">
        <f aca="true" t="shared" si="5" ref="B16:B26">B15+B14</f>
        <v>77</v>
      </c>
      <c r="C16" s="13">
        <f t="shared" si="1"/>
        <v>-0.5886171337419057</v>
      </c>
      <c r="D16" s="13">
        <f t="shared" si="2"/>
        <v>171.5886171337419</v>
      </c>
      <c r="E16" s="13">
        <f t="shared" si="3"/>
        <v>29443</v>
      </c>
      <c r="F16" s="78" t="str">
        <f t="shared" si="4"/>
        <v>                                                                                        </v>
      </c>
    </row>
    <row r="17" spans="2:6" ht="15">
      <c r="B17" s="13">
        <f t="shared" si="5"/>
        <v>124</v>
      </c>
      <c r="C17" s="13">
        <f t="shared" si="1"/>
        <v>0.363785395013025</v>
      </c>
      <c r="D17" s="13">
        <f t="shared" si="2"/>
        <v>277.63621460498695</v>
      </c>
      <c r="E17" s="13">
        <f t="shared" si="3"/>
        <v>77082</v>
      </c>
      <c r="F17" s="78" t="str">
        <f t="shared" si="4"/>
        <v>                                                                                        </v>
      </c>
    </row>
    <row r="18" spans="2:6" ht="15">
      <c r="B18" s="13">
        <f t="shared" si="5"/>
        <v>201</v>
      </c>
      <c r="C18" s="13">
        <f t="shared" si="1"/>
        <v>-0.22483173872888074</v>
      </c>
      <c r="D18" s="13">
        <f t="shared" si="2"/>
        <v>449.2248317387289</v>
      </c>
      <c r="E18" s="13">
        <f t="shared" si="3"/>
        <v>201803</v>
      </c>
      <c r="F18" s="78" t="str">
        <f t="shared" si="4"/>
        <v>                                                                                        </v>
      </c>
    </row>
    <row r="19" spans="2:6" ht="15">
      <c r="B19" s="13">
        <f t="shared" si="5"/>
        <v>325</v>
      </c>
      <c r="C19" s="13">
        <f t="shared" si="1"/>
        <v>0.13895365628411582</v>
      </c>
      <c r="D19" s="13">
        <f t="shared" si="2"/>
        <v>726.8610463437158</v>
      </c>
      <c r="E19" s="13">
        <f t="shared" si="3"/>
        <v>528327</v>
      </c>
      <c r="F19" s="78" t="str">
        <f t="shared" si="4"/>
        <v>                                                                                        </v>
      </c>
    </row>
    <row r="20" spans="2:6" ht="15">
      <c r="B20" s="13">
        <f t="shared" si="5"/>
        <v>526</v>
      </c>
      <c r="C20" s="13">
        <f t="shared" si="1"/>
        <v>-0.08587808244476491</v>
      </c>
      <c r="D20" s="13">
        <f t="shared" si="2"/>
        <v>1176.0858780824447</v>
      </c>
      <c r="E20" s="13">
        <f t="shared" si="3"/>
        <v>1383178</v>
      </c>
      <c r="F20" s="78" t="str">
        <f t="shared" si="4"/>
        <v>                                                                                        </v>
      </c>
    </row>
    <row r="21" spans="2:6" ht="15">
      <c r="B21" s="13">
        <f t="shared" si="5"/>
        <v>851</v>
      </c>
      <c r="C21" s="13">
        <f t="shared" si="1"/>
        <v>0.05307557383935091</v>
      </c>
      <c r="D21" s="13">
        <f t="shared" si="2"/>
        <v>1902.9469244261604</v>
      </c>
      <c r="E21" s="13">
        <f t="shared" si="3"/>
        <v>3621207</v>
      </c>
      <c r="F21" s="78" t="str">
        <f t="shared" si="4"/>
        <v>                                                                                        </v>
      </c>
    </row>
    <row r="22" spans="2:6" ht="15">
      <c r="B22" s="13">
        <f t="shared" si="5"/>
        <v>1377</v>
      </c>
      <c r="C22" s="13">
        <f t="shared" si="1"/>
        <v>-0.032802508605072944</v>
      </c>
      <c r="D22" s="13">
        <f t="shared" si="2"/>
        <v>3079.032802508605</v>
      </c>
      <c r="E22" s="13">
        <f t="shared" si="3"/>
        <v>9480443</v>
      </c>
      <c r="F22" s="78" t="str">
        <f t="shared" si="4"/>
        <v>                                                                                        </v>
      </c>
    </row>
    <row r="23" spans="2:6" ht="15">
      <c r="B23" s="13">
        <f t="shared" si="5"/>
        <v>2228</v>
      </c>
      <c r="C23" s="13">
        <f t="shared" si="1"/>
        <v>0.02027306523405059</v>
      </c>
      <c r="D23" s="13">
        <f t="shared" si="2"/>
        <v>4981.9797269347655</v>
      </c>
      <c r="E23" s="13">
        <f t="shared" si="3"/>
        <v>24820122</v>
      </c>
      <c r="F23" s="78" t="str">
        <f t="shared" si="4"/>
        <v>                                                                                        </v>
      </c>
    </row>
    <row r="24" spans="2:6" ht="15">
      <c r="B24" s="13">
        <f t="shared" si="5"/>
        <v>3605</v>
      </c>
      <c r="C24" s="13">
        <f t="shared" si="1"/>
        <v>-0.012529443371022353</v>
      </c>
      <c r="D24" s="13">
        <f t="shared" si="2"/>
        <v>8061.012529443371</v>
      </c>
      <c r="E24" s="13">
        <f t="shared" si="3"/>
        <v>64979923</v>
      </c>
      <c r="F24" s="78" t="str">
        <f t="shared" si="4"/>
        <v>                                                                                        </v>
      </c>
    </row>
    <row r="25" spans="2:6" ht="15">
      <c r="B25" s="13">
        <f t="shared" si="5"/>
        <v>5833</v>
      </c>
      <c r="C25" s="13">
        <f t="shared" si="1"/>
        <v>0.007743621863482986</v>
      </c>
      <c r="D25" s="13">
        <f t="shared" si="2"/>
        <v>13042.992256378137</v>
      </c>
      <c r="E25" s="13">
        <f t="shared" si="3"/>
        <v>170119647</v>
      </c>
      <c r="F25" s="77"/>
    </row>
    <row r="26" spans="2:6" ht="15">
      <c r="B26" s="13">
        <f t="shared" si="5"/>
        <v>9438</v>
      </c>
      <c r="C26" s="13"/>
      <c r="D26" s="13"/>
      <c r="E26" s="13"/>
      <c r="F26" s="77"/>
    </row>
  </sheetData>
  <sheetProtection password="DD35" sheet="1"/>
  <protectedRanges>
    <protectedRange sqref="B13:B14" name="Tartom?ny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H24" sqref="H24"/>
    </sheetView>
  </sheetViews>
  <sheetFormatPr defaultColWidth="9.140625" defaultRowHeight="15"/>
  <cols>
    <col min="8" max="8" width="12.8515625" style="0" customWidth="1"/>
    <col min="9" max="9" width="13.140625" style="0" customWidth="1"/>
    <col min="10" max="10" width="16.421875" style="0" customWidth="1"/>
    <col min="11" max="11" width="49.8515625" style="0" customWidth="1"/>
  </cols>
  <sheetData>
    <row r="1" ht="15">
      <c r="A1">
        <f>(SQRT(5)+1)/2</f>
        <v>1.618033988749895</v>
      </c>
    </row>
    <row r="2" spans="4:7" ht="15">
      <c r="D2" s="84" t="s">
        <v>17</v>
      </c>
      <c r="E2" s="31"/>
      <c r="F2" s="31"/>
      <c r="G2" s="16"/>
    </row>
    <row r="3" spans="4:7" ht="15">
      <c r="D3" s="15" t="s">
        <v>2</v>
      </c>
      <c r="E3" s="16"/>
      <c r="F3" s="15" t="s">
        <v>3</v>
      </c>
      <c r="G3" s="16"/>
    </row>
    <row r="4" spans="2:21" s="23" customFormat="1" ht="30">
      <c r="B4" s="80" t="s">
        <v>0</v>
      </c>
      <c r="C4" s="81" t="s">
        <v>1</v>
      </c>
      <c r="D4" s="80" t="s">
        <v>0</v>
      </c>
      <c r="E4" s="81" t="s">
        <v>1</v>
      </c>
      <c r="F4" s="80" t="s">
        <v>0</v>
      </c>
      <c r="G4" s="82" t="s">
        <v>1</v>
      </c>
      <c r="H4" s="81" t="s">
        <v>15</v>
      </c>
      <c r="I4" s="83" t="s">
        <v>16</v>
      </c>
      <c r="J4" s="83" t="s">
        <v>11</v>
      </c>
      <c r="K4" s="79" t="s">
        <v>26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2:21" ht="15">
      <c r="B5" s="10">
        <f aca="true" t="shared" si="0" ref="B5:C13">B7-B6</f>
        <v>19918</v>
      </c>
      <c r="C5">
        <f t="shared" si="0"/>
        <v>3859</v>
      </c>
      <c r="D5" s="10"/>
      <c r="E5" s="11"/>
      <c r="F5" s="10"/>
      <c r="G5" s="12"/>
      <c r="I5" s="13"/>
      <c r="J5" s="22"/>
      <c r="K5" s="86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2:21" ht="15">
      <c r="B6" s="10">
        <f t="shared" si="0"/>
        <v>-12310</v>
      </c>
      <c r="C6">
        <f t="shared" si="0"/>
        <v>-2385</v>
      </c>
      <c r="D6" s="10">
        <f>Munka2!J6</f>
        <v>27525.998401511206</v>
      </c>
      <c r="E6" s="11">
        <f>Munka2!K6</f>
        <v>5333.011063168499</v>
      </c>
      <c r="F6" s="10">
        <f>Munka2!O6</f>
        <v>0.0015984887950253324</v>
      </c>
      <c r="G6" s="12">
        <f>Munka2!P6</f>
        <v>-0.011063168499049425</v>
      </c>
      <c r="H6">
        <f>D6*D6+E6*E6</f>
        <v>786121594.9998751</v>
      </c>
      <c r="I6" s="13">
        <f>F6*F6+G6*G6</f>
        <v>0.00012494886366618105</v>
      </c>
      <c r="J6" s="13">
        <f>H6+I6</f>
        <v>786121595</v>
      </c>
      <c r="K6" s="85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2:21" ht="15">
      <c r="B7" s="10">
        <f t="shared" si="0"/>
        <v>7608</v>
      </c>
      <c r="C7">
        <f t="shared" si="0"/>
        <v>1474</v>
      </c>
      <c r="D7" s="10">
        <f>Munka2!J7</f>
        <v>-17012.002586409202</v>
      </c>
      <c r="E7" s="11">
        <f>Munka2!K7</f>
        <v>-3295.982099417345</v>
      </c>
      <c r="F7" s="10">
        <f>Munka2!O7</f>
        <v>0.0025864091994662886</v>
      </c>
      <c r="G7" s="12">
        <f>Munka2!P7</f>
        <v>-0.01790058265510197</v>
      </c>
      <c r="H7">
        <f aca="true" t="shared" si="1" ref="H7:H31">D7*D7+E7*E7</f>
        <v>300271729.99967295</v>
      </c>
      <c r="I7" s="13">
        <f aca="true" t="shared" si="2" ref="I7:I31">F7*F7+G7*G7</f>
        <v>0.0003271203719392214</v>
      </c>
      <c r="J7" s="13">
        <f aca="true" t="shared" si="3" ref="J7:J31">H7+I7</f>
        <v>300271730.00000006</v>
      </c>
      <c r="K7" s="85" t="str">
        <f aca="true" t="shared" si="4" ref="K7:K30">IF(AND(J7&lt;J6,J7&lt;J8),"A természetes indexelés 0 indexű eleme","                                                                                        ")</f>
        <v>                                                                                        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2:21" ht="15">
      <c r="B8" s="10">
        <f t="shared" si="0"/>
        <v>-4702</v>
      </c>
      <c r="C8">
        <f t="shared" si="0"/>
        <v>-911</v>
      </c>
      <c r="D8" s="10">
        <f>Munka2!J8</f>
        <v>10513.995815102006</v>
      </c>
      <c r="E8" s="11">
        <f>Munka2!K8</f>
        <v>2037.0289637511542</v>
      </c>
      <c r="F8" s="10">
        <f>Munka2!O8</f>
        <v>0.004184897994491621</v>
      </c>
      <c r="G8" s="12">
        <f>Munka2!P8</f>
        <v>-0.028963751154151396</v>
      </c>
      <c r="H8">
        <f t="shared" si="1"/>
        <v>114693594.99914359</v>
      </c>
      <c r="I8" s="13">
        <f t="shared" si="2"/>
        <v>0.0008564122521439063</v>
      </c>
      <c r="J8" s="13">
        <f t="shared" si="3"/>
        <v>114693595</v>
      </c>
      <c r="K8" s="85" t="str">
        <f t="shared" si="4"/>
        <v>                                                                                        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ht="15">
      <c r="B9" s="10">
        <f t="shared" si="0"/>
        <v>2906</v>
      </c>
      <c r="C9">
        <f t="shared" si="0"/>
        <v>563</v>
      </c>
      <c r="D9" s="10">
        <f>Munka2!J9</f>
        <v>-6498.006771307195</v>
      </c>
      <c r="E9" s="11">
        <f>Munka2!K9</f>
        <v>-1258.953135666191</v>
      </c>
      <c r="F9" s="10">
        <f>Munka2!O9</f>
        <v>0.006771307194185283</v>
      </c>
      <c r="G9" s="12">
        <f>Munka2!P9</f>
        <v>-0.04686433380925337</v>
      </c>
      <c r="H9">
        <f t="shared" si="1"/>
        <v>43809054.99775789</v>
      </c>
      <c r="I9" s="13">
        <f t="shared" si="2"/>
        <v>0.0022421163845031534</v>
      </c>
      <c r="J9" s="13">
        <f t="shared" si="3"/>
        <v>43809055.00000001</v>
      </c>
      <c r="K9" s="85" t="str">
        <f t="shared" si="4"/>
        <v>                                                                                        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1" ht="15">
      <c r="B10" s="10">
        <f t="shared" si="0"/>
        <v>-1796</v>
      </c>
      <c r="C10">
        <f t="shared" si="0"/>
        <v>-348</v>
      </c>
      <c r="D10" s="10">
        <f>Munka2!J10</f>
        <v>4015.989043794811</v>
      </c>
      <c r="E10" s="11">
        <f>Munka2!K10</f>
        <v>778.0758280849634</v>
      </c>
      <c r="F10" s="10">
        <f>Munka2!O10</f>
        <v>0.010956205188904278</v>
      </c>
      <c r="G10" s="12">
        <f>Munka2!P10</f>
        <v>-0.07582808496337634</v>
      </c>
      <c r="H10">
        <f t="shared" si="1"/>
        <v>16733569.994130064</v>
      </c>
      <c r="I10" s="13">
        <f t="shared" si="2"/>
        <v>0.005869936901354395</v>
      </c>
      <c r="J10" s="13">
        <f t="shared" si="3"/>
        <v>16733570</v>
      </c>
      <c r="K10" s="85" t="str">
        <f t="shared" si="4"/>
        <v>                                                                                        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15">
      <c r="B11" s="10">
        <f t="shared" si="0"/>
        <v>1110</v>
      </c>
      <c r="C11">
        <f t="shared" si="0"/>
        <v>215</v>
      </c>
      <c r="D11" s="10">
        <f>Munka2!J11</f>
        <v>-2482.0177275123833</v>
      </c>
      <c r="E11" s="11">
        <f>Munka2!K11</f>
        <v>-480.8773075812274</v>
      </c>
      <c r="F11" s="10">
        <f>Munka2!O11</f>
        <v>0.017727512383203248</v>
      </c>
      <c r="G11" s="12">
        <f>Munka2!P11</f>
        <v>-0.12269241877262971</v>
      </c>
      <c r="H11">
        <f t="shared" si="1"/>
        <v>6391654.984632306</v>
      </c>
      <c r="I11" s="13">
        <f t="shared" si="2"/>
        <v>0.015367694319574963</v>
      </c>
      <c r="J11" s="13">
        <f t="shared" si="3"/>
        <v>6391655</v>
      </c>
      <c r="K11" s="85" t="str">
        <f t="shared" si="4"/>
        <v>                                                                                        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15">
      <c r="B12" s="10">
        <f t="shared" si="0"/>
        <v>-686</v>
      </c>
      <c r="C12">
        <f t="shared" si="0"/>
        <v>-133</v>
      </c>
      <c r="D12" s="10">
        <f>Munka2!J12</f>
        <v>1533.971316282428</v>
      </c>
      <c r="E12" s="11">
        <f>Munka2!K12</f>
        <v>297.19852050373606</v>
      </c>
      <c r="F12" s="10">
        <f>Munka2!O12</f>
        <v>0.02868371757216437</v>
      </c>
      <c r="G12" s="12">
        <f>Munka2!P12</f>
        <v>-0.19852050373600605</v>
      </c>
      <c r="H12">
        <f t="shared" si="1"/>
        <v>2441394.9597668545</v>
      </c>
      <c r="I12" s="13">
        <f t="shared" si="2"/>
        <v>0.04023314605735728</v>
      </c>
      <c r="J12" s="13">
        <f t="shared" si="3"/>
        <v>2441395.0000000005</v>
      </c>
      <c r="K12" s="85" t="str">
        <f t="shared" si="4"/>
        <v>                                                                                        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5">
      <c r="B13" s="10">
        <f t="shared" si="0"/>
        <v>424</v>
      </c>
      <c r="C13">
        <f t="shared" si="0"/>
        <v>82</v>
      </c>
      <c r="D13" s="10">
        <f>Munka2!J13</f>
        <v>-948.0464112299554</v>
      </c>
      <c r="E13" s="11">
        <f>Munka2!K13</f>
        <v>-183.6787870774914</v>
      </c>
      <c r="F13" s="10">
        <f>Munka2!O13</f>
        <v>0.04641122995536762</v>
      </c>
      <c r="G13" s="12">
        <f>Munka2!P13</f>
        <v>-0.32121292250862865</v>
      </c>
      <c r="H13">
        <f t="shared" si="1"/>
        <v>932529.8946682562</v>
      </c>
      <c r="I13" s="13">
        <f t="shared" si="2"/>
        <v>0.10533174385250428</v>
      </c>
      <c r="J13" s="13">
        <f t="shared" si="3"/>
        <v>932530</v>
      </c>
      <c r="K13" s="85" t="str">
        <f t="shared" si="4"/>
        <v>                                                                                        </v>
      </c>
      <c r="L13" s="48"/>
      <c r="M13" s="48"/>
      <c r="N13" s="11"/>
      <c r="O13" s="11"/>
      <c r="P13" s="49"/>
      <c r="Q13" s="11"/>
      <c r="R13" s="11"/>
      <c r="S13" s="11"/>
      <c r="T13" s="11"/>
      <c r="U13" s="11"/>
    </row>
    <row r="14" spans="2:21" ht="15">
      <c r="B14" s="10">
        <f>B16-B15</f>
        <v>-262</v>
      </c>
      <c r="C14">
        <f>C16-C15</f>
        <v>-51</v>
      </c>
      <c r="D14" s="10">
        <f>Munka2!J14</f>
        <v>585.9249050524725</v>
      </c>
      <c r="E14" s="11">
        <f>Munka2!K14</f>
        <v>113.51973342624464</v>
      </c>
      <c r="F14" s="10">
        <f>Munka2!O14</f>
        <v>0.07509494752756041</v>
      </c>
      <c r="G14" s="12">
        <f>Munka2!P14</f>
        <v>-0.5197334262446347</v>
      </c>
      <c r="H14">
        <f t="shared" si="1"/>
        <v>356194.7242379145</v>
      </c>
      <c r="I14" s="13">
        <f t="shared" si="2"/>
        <v>0.27576208550015424</v>
      </c>
      <c r="J14" s="13">
        <f t="shared" si="3"/>
        <v>356195</v>
      </c>
      <c r="K14" s="85" t="str">
        <f t="shared" si="4"/>
        <v>                                                                                        </v>
      </c>
      <c r="L14" s="48"/>
      <c r="M14" s="48"/>
      <c r="N14" s="11"/>
      <c r="O14" s="11"/>
      <c r="P14" s="11"/>
      <c r="Q14" s="11"/>
      <c r="R14" s="11"/>
      <c r="S14" s="11"/>
      <c r="T14" s="11"/>
      <c r="U14" s="11"/>
    </row>
    <row r="15" spans="2:21" ht="15">
      <c r="B15" s="14">
        <v>162</v>
      </c>
      <c r="C15" s="1">
        <v>31</v>
      </c>
      <c r="D15" s="10">
        <f>Munka2!J15</f>
        <v>-362.12150617748296</v>
      </c>
      <c r="E15" s="11">
        <f>Munka2!K15</f>
        <v>-70.15905365124675</v>
      </c>
      <c r="F15" s="10">
        <f>Munka2!O15</f>
        <v>0.12150617748295645</v>
      </c>
      <c r="G15" s="12">
        <f>Munka2!P15</f>
        <v>-0.8409463487532598</v>
      </c>
      <c r="H15">
        <f t="shared" si="1"/>
        <v>136054.27804548733</v>
      </c>
      <c r="I15" s="13">
        <f t="shared" si="2"/>
        <v>0.721954512647959</v>
      </c>
      <c r="J15" s="13">
        <f t="shared" si="3"/>
        <v>136054.99999999997</v>
      </c>
      <c r="K15" s="85" t="str">
        <f t="shared" si="4"/>
        <v>                                                                                        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1" ht="15">
      <c r="B16" s="14">
        <v>-100</v>
      </c>
      <c r="C16" s="1">
        <v>-20</v>
      </c>
      <c r="D16" s="10">
        <f>Munka2!J16</f>
        <v>223.80339887498948</v>
      </c>
      <c r="E16" s="11">
        <f>Munka2!K16</f>
        <v>43.3606797749979</v>
      </c>
      <c r="F16" s="10">
        <f>Munka2!O16</f>
        <v>0.19660112501052396</v>
      </c>
      <c r="G16" s="12">
        <f>Munka2!P16</f>
        <v>-1.3606797749978963</v>
      </c>
      <c r="H16">
        <f t="shared" si="1"/>
        <v>51968.10989854756</v>
      </c>
      <c r="I16" s="13">
        <f t="shared" si="2"/>
        <v>1.8901014524437292</v>
      </c>
      <c r="J16" s="13">
        <f t="shared" si="3"/>
        <v>51970.00000000001</v>
      </c>
      <c r="K16" s="85" t="str">
        <f t="shared" si="4"/>
        <v>                                                                                        </v>
      </c>
      <c r="L16" s="11"/>
      <c r="M16" s="11"/>
      <c r="N16" s="11"/>
      <c r="O16" s="11"/>
      <c r="P16" s="49"/>
      <c r="Q16" s="11"/>
      <c r="R16" s="11"/>
      <c r="S16" s="11"/>
      <c r="T16" s="11"/>
      <c r="U16" s="11"/>
    </row>
    <row r="17" spans="2:21" ht="15">
      <c r="B17" s="10">
        <f>B15+B16</f>
        <v>62</v>
      </c>
      <c r="C17">
        <f>C15+C16</f>
        <v>11</v>
      </c>
      <c r="D17" s="10">
        <f>Munka2!J17</f>
        <v>-138.3181073024935</v>
      </c>
      <c r="E17" s="11">
        <f>Munka2!K17</f>
        <v>-26.798373876248846</v>
      </c>
      <c r="F17" s="10">
        <f>Munka2!O17</f>
        <v>0.3181073024934804</v>
      </c>
      <c r="G17" s="12">
        <f>Munka2!P17</f>
        <v>-2.201626123751157</v>
      </c>
      <c r="H17">
        <f t="shared" si="1"/>
        <v>19850.05165015532</v>
      </c>
      <c r="I17" s="13">
        <f t="shared" si="2"/>
        <v>4.948349844683223</v>
      </c>
      <c r="J17" s="13">
        <f t="shared" si="3"/>
        <v>19855.000000000004</v>
      </c>
      <c r="K17" s="85" t="str">
        <f t="shared" si="4"/>
        <v>                                                                                        </v>
      </c>
      <c r="L17" s="11"/>
      <c r="M17" s="11"/>
      <c r="N17" s="11"/>
      <c r="O17" s="11"/>
      <c r="P17" s="49"/>
      <c r="Q17" s="11"/>
      <c r="R17" s="11"/>
      <c r="S17" s="11"/>
      <c r="T17" s="11"/>
      <c r="U17" s="11"/>
    </row>
    <row r="18" spans="2:21" ht="15">
      <c r="B18" s="10">
        <f aca="true" t="shared" si="5" ref="B18:C32">B16+B17</f>
        <v>-38</v>
      </c>
      <c r="C18">
        <f t="shared" si="5"/>
        <v>-9</v>
      </c>
      <c r="D18" s="10">
        <f>Munka2!J18</f>
        <v>85.48529157249601</v>
      </c>
      <c r="E18" s="11">
        <f>Munka2!K18</f>
        <v>16.562305898749052</v>
      </c>
      <c r="F18" s="10">
        <f>Munka2!O18</f>
        <v>0.5147084275039973</v>
      </c>
      <c r="G18" s="12">
        <f>Munka2!P18</f>
        <v>-3.5623058987490532</v>
      </c>
      <c r="H18">
        <f t="shared" si="1"/>
        <v>7582.045051918395</v>
      </c>
      <c r="I18" s="13">
        <f t="shared" si="2"/>
        <v>12.954948081605938</v>
      </c>
      <c r="J18" s="13">
        <f t="shared" si="3"/>
        <v>7595.000000000001</v>
      </c>
      <c r="K18" s="85" t="str">
        <f t="shared" si="4"/>
        <v>                                                                                        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5">
      <c r="B19" s="10">
        <f t="shared" si="5"/>
        <v>24</v>
      </c>
      <c r="C19">
        <f t="shared" si="5"/>
        <v>2</v>
      </c>
      <c r="D19" s="10">
        <f>Munka2!J19</f>
        <v>-52.83281572999748</v>
      </c>
      <c r="E19" s="11">
        <f>Munka2!K19</f>
        <v>-10.23606797749979</v>
      </c>
      <c r="F19" s="10">
        <f>Munka2!O19</f>
        <v>0.8328157299974741</v>
      </c>
      <c r="G19" s="12">
        <f>Munka2!P19</f>
        <v>-5.76393202250021</v>
      </c>
      <c r="H19">
        <f t="shared" si="1"/>
        <v>2896.083505599866</v>
      </c>
      <c r="I19" s="13">
        <f t="shared" si="2"/>
        <v>33.91649440013459</v>
      </c>
      <c r="J19" s="13">
        <f t="shared" si="3"/>
        <v>2930.0000000000005</v>
      </c>
      <c r="K19" s="85" t="str">
        <f t="shared" si="4"/>
        <v>                                                                                        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5">
      <c r="B20" s="10">
        <f t="shared" si="5"/>
        <v>-14</v>
      </c>
      <c r="C20">
        <f t="shared" si="5"/>
        <v>-7</v>
      </c>
      <c r="D20" s="10">
        <f>Munka2!J20</f>
        <v>32.65247584249853</v>
      </c>
      <c r="E20" s="11">
        <f>Munka2!K20</f>
        <v>6.326237921249264</v>
      </c>
      <c r="F20" s="10">
        <f>Munka2!O20</f>
        <v>1.3475241575014731</v>
      </c>
      <c r="G20" s="12">
        <f>Munka2!P20</f>
        <v>-9.326237921249263</v>
      </c>
      <c r="H20">
        <f t="shared" si="1"/>
        <v>1106.2054648812025</v>
      </c>
      <c r="I20" s="13">
        <f t="shared" si="2"/>
        <v>88.79453511879782</v>
      </c>
      <c r="J20" s="13">
        <f t="shared" si="3"/>
        <v>1195.0000000000002</v>
      </c>
      <c r="K20" s="85" t="str">
        <f t="shared" si="4"/>
        <v>                                                                                        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ht="15">
      <c r="B21" s="10">
        <f t="shared" si="5"/>
        <v>10</v>
      </c>
      <c r="C21">
        <f t="shared" si="5"/>
        <v>-5</v>
      </c>
      <c r="D21" s="10">
        <f>Munka2!J21</f>
        <v>-20.18033988749895</v>
      </c>
      <c r="E21" s="11">
        <f>Munka2!K21</f>
        <v>-3.9098300562505255</v>
      </c>
      <c r="F21" s="10">
        <f>Munka2!O21</f>
        <v>2.180339887498948</v>
      </c>
      <c r="G21" s="12">
        <f>Munka2!P21</f>
        <v>-15.090169943749475</v>
      </c>
      <c r="H21">
        <f t="shared" si="1"/>
        <v>422.5328890437411</v>
      </c>
      <c r="I21" s="13">
        <f t="shared" si="2"/>
        <v>232.46711095625895</v>
      </c>
      <c r="J21" s="13">
        <f t="shared" si="3"/>
        <v>655</v>
      </c>
      <c r="K21" s="85" t="str">
        <f t="shared" si="4"/>
        <v>A természetes indexelés 0 indexű eleme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2:21" ht="15">
      <c r="B22" s="10">
        <f t="shared" si="5"/>
        <v>-4</v>
      </c>
      <c r="C22">
        <f t="shared" si="5"/>
        <v>-12</v>
      </c>
      <c r="D22" s="10">
        <f>Munka2!J22</f>
        <v>12.47213595499958</v>
      </c>
      <c r="E22" s="11">
        <f>Munka2!K22</f>
        <v>2.416407864998739</v>
      </c>
      <c r="F22" s="10">
        <f>Munka2!O22</f>
        <v>3.527864045000421</v>
      </c>
      <c r="G22" s="12">
        <f>Munka2!P22</f>
        <v>-24.41640786499874</v>
      </c>
      <c r="H22">
        <f t="shared" si="1"/>
        <v>161.39320225002103</v>
      </c>
      <c r="I22" s="13">
        <f t="shared" si="2"/>
        <v>608.606797749979</v>
      </c>
      <c r="J22" s="13">
        <f t="shared" si="3"/>
        <v>770</v>
      </c>
      <c r="K22" s="85" t="str">
        <f t="shared" si="4"/>
        <v>                                                                                        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5">
      <c r="B23" s="10">
        <f t="shared" si="5"/>
        <v>6</v>
      </c>
      <c r="C23">
        <f t="shared" si="5"/>
        <v>-17</v>
      </c>
      <c r="D23" s="10">
        <f>Munka2!J23</f>
        <v>-7.708203932499369</v>
      </c>
      <c r="E23" s="11">
        <f>Munka2!K23</f>
        <v>-1.4934221912517884</v>
      </c>
      <c r="F23" s="10">
        <f>Munka2!O23</f>
        <v>5.7082039324993685</v>
      </c>
      <c r="G23" s="12">
        <f>Munka2!P23</f>
        <v>-39.50657780874821</v>
      </c>
      <c r="H23">
        <f t="shared" si="1"/>
        <v>61.646717706322036</v>
      </c>
      <c r="I23" s="13">
        <f t="shared" si="2"/>
        <v>1593.353282293678</v>
      </c>
      <c r="J23" s="13">
        <f t="shared" si="3"/>
        <v>1655</v>
      </c>
      <c r="K23" s="85" t="str">
        <f t="shared" si="4"/>
        <v>                                                                                        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5">
      <c r="B24" s="10">
        <f t="shared" si="5"/>
        <v>2</v>
      </c>
      <c r="C24">
        <f t="shared" si="5"/>
        <v>-29</v>
      </c>
      <c r="D24" s="10">
        <f>Munka2!J24</f>
        <v>4.76393202250021</v>
      </c>
      <c r="E24" s="11">
        <f>Munka2!K24</f>
        <v>0.9229856737469504</v>
      </c>
      <c r="F24" s="10">
        <f>Munka2!O24</f>
        <v>9.23606797749979</v>
      </c>
      <c r="G24" s="12">
        <f>Munka2!P24</f>
        <v>-63.92298567374695</v>
      </c>
      <c r="H24">
        <f t="shared" si="1"/>
        <v>23.546950868945054</v>
      </c>
      <c r="I24" s="13">
        <f t="shared" si="2"/>
        <v>4171.453049131055</v>
      </c>
      <c r="J24" s="13">
        <f t="shared" si="3"/>
        <v>4195</v>
      </c>
      <c r="K24" s="85" t="str">
        <f t="shared" si="4"/>
        <v>                                                                                        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5">
      <c r="B25" s="10">
        <f t="shared" si="5"/>
        <v>8</v>
      </c>
      <c r="C25">
        <f t="shared" si="5"/>
        <v>-46</v>
      </c>
      <c r="D25" s="10">
        <f>Munka2!J25</f>
        <v>-2.944271909999159</v>
      </c>
      <c r="E25" s="11">
        <f>Munka2!K25</f>
        <v>-0.5704365175048309</v>
      </c>
      <c r="F25" s="10">
        <f>Munka2!O25</f>
        <v>14.94427190999916</v>
      </c>
      <c r="G25" s="12">
        <f>Munka2!P25</f>
        <v>-103.42956348249515</v>
      </c>
      <c r="H25">
        <f t="shared" si="1"/>
        <v>8.994134900513135</v>
      </c>
      <c r="I25" s="13">
        <f t="shared" si="2"/>
        <v>10921.005865099485</v>
      </c>
      <c r="J25" s="13">
        <f t="shared" si="3"/>
        <v>10929.999999999998</v>
      </c>
      <c r="K25" s="85" t="str">
        <f t="shared" si="4"/>
        <v>                                                                                        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2:21" ht="15">
      <c r="B26" s="10">
        <f t="shared" si="5"/>
        <v>10</v>
      </c>
      <c r="C26">
        <f t="shared" si="5"/>
        <v>-75</v>
      </c>
      <c r="D26" s="10">
        <f>Munka2!J26</f>
        <v>1.819660112501051</v>
      </c>
      <c r="E26" s="11">
        <f>Munka2!K26</f>
        <v>0.35254915624211947</v>
      </c>
      <c r="F26" s="10">
        <f>Munka2!O26</f>
        <v>24.18033988749895</v>
      </c>
      <c r="G26" s="12">
        <f>Munka2!P26</f>
        <v>-167.3525491562421</v>
      </c>
      <c r="H26">
        <f t="shared" si="1"/>
        <v>3.4354538325943675</v>
      </c>
      <c r="I26" s="13">
        <f t="shared" si="2"/>
        <v>28591.564546167403</v>
      </c>
      <c r="J26" s="13">
        <f t="shared" si="3"/>
        <v>28594.999999999996</v>
      </c>
      <c r="K26" s="85" t="str">
        <f t="shared" si="4"/>
        <v>                                                                                        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2:21" ht="15">
      <c r="B27" s="10">
        <f t="shared" si="5"/>
        <v>18</v>
      </c>
      <c r="C27">
        <f t="shared" si="5"/>
        <v>-121</v>
      </c>
      <c r="D27" s="10">
        <f>Munka2!J27</f>
        <v>-1.1246117974981082</v>
      </c>
      <c r="E27" s="11">
        <f>Munka2!K27</f>
        <v>-0.21788736126271147</v>
      </c>
      <c r="F27" s="10">
        <f>Munka2!O27</f>
        <v>39.124611797498105</v>
      </c>
      <c r="G27" s="12">
        <f>Munka2!P27</f>
        <v>-270.78211263873726</v>
      </c>
      <c r="H27">
        <f t="shared" si="1"/>
        <v>1.3122265972699534</v>
      </c>
      <c r="I27" s="13">
        <f t="shared" si="2"/>
        <v>74853.68777340272</v>
      </c>
      <c r="J27" s="13">
        <f t="shared" si="3"/>
        <v>74854.99999999999</v>
      </c>
      <c r="K27" s="85" t="str">
        <f t="shared" si="4"/>
        <v>                                                                                        </v>
      </c>
      <c r="L27" s="50"/>
      <c r="M27" s="50"/>
      <c r="N27" s="11"/>
      <c r="O27" s="11"/>
      <c r="P27" s="49"/>
      <c r="Q27" s="11"/>
      <c r="R27" s="11"/>
      <c r="S27" s="11"/>
      <c r="T27" s="11"/>
      <c r="U27" s="11"/>
    </row>
    <row r="28" spans="2:21" ht="15">
      <c r="B28" s="10">
        <f t="shared" si="5"/>
        <v>28</v>
      </c>
      <c r="C28">
        <f t="shared" si="5"/>
        <v>-196</v>
      </c>
      <c r="D28" s="10">
        <f>Munka2!J28</f>
        <v>0.6950483150029427</v>
      </c>
      <c r="E28" s="11">
        <f>Munka2!K28</f>
        <v>0.1346617949794222</v>
      </c>
      <c r="F28" s="10">
        <f>Munka2!O28</f>
        <v>63.30495168499705</v>
      </c>
      <c r="G28" s="12">
        <f>Munka2!P28</f>
        <v>-438.13466179497937</v>
      </c>
      <c r="H28">
        <f t="shared" si="1"/>
        <v>0.5012259592155098</v>
      </c>
      <c r="I28" s="13">
        <f t="shared" si="2"/>
        <v>195969.49877404075</v>
      </c>
      <c r="J28" s="13">
        <f t="shared" si="3"/>
        <v>195969.99999999997</v>
      </c>
      <c r="K28" s="85" t="str">
        <f t="shared" si="4"/>
        <v>                                                                                        </v>
      </c>
      <c r="L28" s="50"/>
      <c r="M28" s="50"/>
      <c r="N28" s="11"/>
      <c r="O28" s="11"/>
      <c r="P28" s="11"/>
      <c r="Q28" s="11"/>
      <c r="R28" s="11"/>
      <c r="S28" s="11"/>
      <c r="T28" s="11"/>
      <c r="U28" s="11"/>
    </row>
    <row r="29" spans="2:21" ht="15">
      <c r="B29" s="10">
        <f t="shared" si="5"/>
        <v>46</v>
      </c>
      <c r="C29">
        <f t="shared" si="5"/>
        <v>-317</v>
      </c>
      <c r="D29" s="10">
        <f>Munka2!J29</f>
        <v>-0.42956348249516907</v>
      </c>
      <c r="E29" s="11">
        <f>Munka2!K29</f>
        <v>-0.08322556628331768</v>
      </c>
      <c r="F29" s="10">
        <f>Munka2!O29</f>
        <v>102.42956348249515</v>
      </c>
      <c r="G29" s="12">
        <f>Munka2!P29</f>
        <v>-708.9167744337167</v>
      </c>
      <c r="H29">
        <f t="shared" si="1"/>
        <v>0.19145128037655632</v>
      </c>
      <c r="I29" s="13">
        <f t="shared" si="2"/>
        <v>513054.8085487196</v>
      </c>
      <c r="J29" s="13">
        <f t="shared" si="3"/>
        <v>513055</v>
      </c>
      <c r="K29" s="85" t="str">
        <f t="shared" si="4"/>
        <v>                                                                                        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1" ht="15">
      <c r="B30" s="10">
        <f t="shared" si="5"/>
        <v>74</v>
      </c>
      <c r="C30">
        <f t="shared" si="5"/>
        <v>-513</v>
      </c>
      <c r="D30" s="10">
        <f>Munka2!J30</f>
        <v>0.26548483250778077</v>
      </c>
      <c r="E30" s="11">
        <f>Munka2!K30</f>
        <v>0.05143622869604769</v>
      </c>
      <c r="F30" s="10">
        <f>Munka2!O30</f>
        <v>165.73451516749222</v>
      </c>
      <c r="G30" s="12">
        <f>Munka2!P30</f>
        <v>-1147.051436228696</v>
      </c>
      <c r="H30">
        <f t="shared" si="1"/>
        <v>0.07312788191415653</v>
      </c>
      <c r="I30" s="13">
        <f t="shared" si="2"/>
        <v>1343194.9268721181</v>
      </c>
      <c r="J30" s="13">
        <f t="shared" si="3"/>
        <v>1343195</v>
      </c>
      <c r="K30" s="85" t="str">
        <f t="shared" si="4"/>
        <v>                                                                                        </v>
      </c>
      <c r="L30" s="11"/>
      <c r="M30" s="11"/>
      <c r="N30" s="11"/>
      <c r="O30" s="11"/>
      <c r="P30" s="49"/>
      <c r="Q30" s="11"/>
      <c r="R30" s="11"/>
      <c r="S30" s="11"/>
      <c r="T30" s="11"/>
      <c r="U30" s="11"/>
    </row>
    <row r="31" spans="2:21" ht="15">
      <c r="B31" s="10">
        <f t="shared" si="5"/>
        <v>120</v>
      </c>
      <c r="C31">
        <f t="shared" si="5"/>
        <v>-830</v>
      </c>
      <c r="D31" s="10">
        <f>Munka2!J31</f>
        <v>-0.16407864998740251</v>
      </c>
      <c r="E31" s="11">
        <f>Munka2!K31</f>
        <v>-0.031789337587269983</v>
      </c>
      <c r="F31" s="10">
        <f>Munka2!O31</f>
        <v>268.16407864998735</v>
      </c>
      <c r="G31" s="12">
        <f>Munka2!P31</f>
        <v>-1855.9682106624127</v>
      </c>
      <c r="H31">
        <f t="shared" si="1"/>
        <v>0.02793236536592596</v>
      </c>
      <c r="I31" s="13">
        <f t="shared" si="2"/>
        <v>3516529.9720676346</v>
      </c>
      <c r="J31" s="13">
        <f t="shared" si="3"/>
        <v>3516530</v>
      </c>
      <c r="K31" s="85"/>
      <c r="L31" s="11"/>
      <c r="M31" s="11"/>
      <c r="N31" s="11"/>
      <c r="O31" s="11"/>
      <c r="P31" s="49"/>
      <c r="Q31" s="11"/>
      <c r="R31" s="11"/>
      <c r="S31" s="11"/>
      <c r="T31" s="11"/>
      <c r="U31" s="11"/>
    </row>
    <row r="32" spans="2:21" ht="15">
      <c r="B32" s="10">
        <f t="shared" si="5"/>
        <v>194</v>
      </c>
      <c r="C32">
        <f t="shared" si="5"/>
        <v>-1343</v>
      </c>
      <c r="D32" s="10"/>
      <c r="E32" s="11"/>
      <c r="F32" s="10"/>
      <c r="G32" s="12"/>
      <c r="I32" s="13"/>
      <c r="J32" s="13"/>
      <c r="K32" s="75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1:21" ht="15"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</sheetData>
  <sheetProtection password="DD35" sheet="1"/>
  <protectedRanges>
    <protectedRange sqref="B15:C16" name="Tartom?ny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K25" sqref="K25"/>
    </sheetView>
  </sheetViews>
  <sheetFormatPr defaultColWidth="9.140625" defaultRowHeight="15"/>
  <cols>
    <col min="9" max="9" width="11.7109375" style="0" customWidth="1"/>
    <col min="12" max="12" width="14.00390625" style="0" customWidth="1"/>
    <col min="14" max="14" width="10.8515625" style="0" customWidth="1"/>
    <col min="17" max="17" width="15.140625" style="0" customWidth="1"/>
    <col min="18" max="18" width="17.7109375" style="0" customWidth="1"/>
  </cols>
  <sheetData>
    <row r="1" spans="1:14" ht="15">
      <c r="A1">
        <f>(SQRT(5)+1)/2</f>
        <v>1.618033988749895</v>
      </c>
      <c r="I1" s="23" t="s">
        <v>5</v>
      </c>
      <c r="K1" s="32"/>
      <c r="L1" s="32"/>
      <c r="N1" s="23" t="s">
        <v>6</v>
      </c>
    </row>
    <row r="2" spans="9:16" ht="15">
      <c r="I2" s="9">
        <f>-A1</f>
        <v>-1.618033988749895</v>
      </c>
      <c r="K2" s="11"/>
      <c r="L2" s="11"/>
      <c r="N2" s="9">
        <f>1/A1</f>
        <v>0.6180339887498948</v>
      </c>
      <c r="P2" s="11"/>
    </row>
    <row r="3" spans="2:16" ht="15">
      <c r="B3" s="15" t="s">
        <v>12</v>
      </c>
      <c r="C3" s="31"/>
      <c r="D3" s="31"/>
      <c r="E3" s="31"/>
      <c r="F3" s="31"/>
      <c r="G3" s="16"/>
      <c r="I3" s="22">
        <v>1</v>
      </c>
      <c r="K3" s="11"/>
      <c r="L3" s="11"/>
      <c r="N3" s="22">
        <v>1</v>
      </c>
      <c r="P3" s="11"/>
    </row>
    <row r="4" spans="2:18" ht="30">
      <c r="B4" s="28" t="s">
        <v>0</v>
      </c>
      <c r="C4" s="29" t="s">
        <v>1</v>
      </c>
      <c r="D4" s="28" t="s">
        <v>0</v>
      </c>
      <c r="E4" s="30" t="s">
        <v>1</v>
      </c>
      <c r="F4" s="29" t="s">
        <v>0</v>
      </c>
      <c r="G4" s="30" t="s">
        <v>1</v>
      </c>
      <c r="H4" s="36" t="s">
        <v>0</v>
      </c>
      <c r="I4" s="33" t="s">
        <v>1</v>
      </c>
      <c r="J4" s="37" t="s">
        <v>0</v>
      </c>
      <c r="K4" s="37" t="s">
        <v>1</v>
      </c>
      <c r="L4" s="37" t="s">
        <v>13</v>
      </c>
      <c r="M4" s="38" t="s">
        <v>0</v>
      </c>
      <c r="N4" s="33" t="s">
        <v>1</v>
      </c>
      <c r="O4" s="37" t="s">
        <v>0</v>
      </c>
      <c r="P4" s="37" t="s">
        <v>1</v>
      </c>
      <c r="Q4" s="39" t="s">
        <v>13</v>
      </c>
      <c r="R4" s="42" t="s">
        <v>14</v>
      </c>
    </row>
    <row r="5" spans="2:18" ht="15">
      <c r="B5" s="10">
        <f>'Komplex sjtért'!B5</f>
        <v>19918</v>
      </c>
      <c r="C5" s="11">
        <f>'Komplex sjtért'!C5</f>
        <v>3859</v>
      </c>
      <c r="D5" s="10">
        <f>'Komplex sjtért'!B6</f>
        <v>-12310</v>
      </c>
      <c r="E5" s="12">
        <f>'Komplex sjtért'!C6</f>
        <v>-2385</v>
      </c>
      <c r="F5" s="11">
        <f>B5+D5</f>
        <v>7608</v>
      </c>
      <c r="G5" s="12">
        <f>C5+E5</f>
        <v>1474</v>
      </c>
      <c r="I5" s="12"/>
      <c r="J5" s="43"/>
      <c r="K5" s="44"/>
      <c r="L5" s="40"/>
      <c r="M5" s="34"/>
      <c r="N5" s="12"/>
      <c r="O5" s="43"/>
      <c r="P5" s="44"/>
      <c r="Q5" s="41"/>
      <c r="R5" s="40"/>
    </row>
    <row r="6" spans="2:18" ht="15">
      <c r="B6" s="10">
        <f>'Komplex sjtért'!B6</f>
        <v>-12310</v>
      </c>
      <c r="C6" s="11">
        <f>'Komplex sjtért'!C6</f>
        <v>-2385</v>
      </c>
      <c r="D6" s="10">
        <f>'Komplex sjtért'!B7</f>
        <v>7608</v>
      </c>
      <c r="E6" s="12">
        <f>'Komplex sjtért'!C7</f>
        <v>1474</v>
      </c>
      <c r="F6" s="11">
        <f aca="true" t="shared" si="0" ref="F6:F31">B6+D6</f>
        <v>-4702</v>
      </c>
      <c r="G6" s="12">
        <f aca="true" t="shared" si="1" ref="G6:G31">C6+E6</f>
        <v>-911</v>
      </c>
      <c r="H6">
        <f aca="true" t="shared" si="2" ref="H6:H13">B5*$I$2+D5*$I$3</f>
        <v>-44538.00098792041</v>
      </c>
      <c r="I6" s="12">
        <f aca="true" t="shared" si="3" ref="I6:I13">C5*$I$2+E5*$I$3</f>
        <v>-8628.993162585844</v>
      </c>
      <c r="J6" s="43">
        <f aca="true" t="shared" si="4" ref="J6:J13">D5*$I$2+F5*$I$3</f>
        <v>27525.998401511206</v>
      </c>
      <c r="K6" s="44">
        <f aca="true" t="shared" si="5" ref="K6:K13">E5*$I$2+G5*$I$3</f>
        <v>5333.011063168499</v>
      </c>
      <c r="L6" s="40">
        <f aca="true" t="shared" si="6" ref="L6:L13">J6*J6+K6*K6</f>
        <v>786121594.9998751</v>
      </c>
      <c r="M6" s="34">
        <f aca="true" t="shared" si="7" ref="M6:M13">B5*$N$2+D5*$N$3</f>
        <v>0.0009879204044409562</v>
      </c>
      <c r="N6" s="12">
        <f aca="true" t="shared" si="8" ref="N6:N13">C5*$N$2+E5*$N$3</f>
        <v>-0.006837414156052546</v>
      </c>
      <c r="O6" s="43">
        <f aca="true" t="shared" si="9" ref="O6:O13">D5*$N$2+F5*$N$3</f>
        <v>0.0015984887950253324</v>
      </c>
      <c r="P6" s="44">
        <f aca="true" t="shared" si="10" ref="P6:P13">E5*$N$2+G5*$N$3</f>
        <v>-0.011063168499049425</v>
      </c>
      <c r="Q6" s="41">
        <f aca="true" t="shared" si="11" ref="Q6:Q13">O6*O6+P6*P6</f>
        <v>0.00012494886366618105</v>
      </c>
      <c r="R6" s="40">
        <f aca="true" t="shared" si="12" ref="R6:R13">L6+Q6</f>
        <v>786121595</v>
      </c>
    </row>
    <row r="7" spans="2:19" ht="15">
      <c r="B7" s="10">
        <f>'Komplex sjtért'!B7</f>
        <v>7608</v>
      </c>
      <c r="C7" s="11">
        <f>'Komplex sjtért'!C7</f>
        <v>1474</v>
      </c>
      <c r="D7" s="10">
        <f>'Komplex sjtért'!B8</f>
        <v>-4702</v>
      </c>
      <c r="E7" s="12">
        <f>'Komplex sjtért'!C8</f>
        <v>-911</v>
      </c>
      <c r="F7" s="11">
        <f t="shared" si="0"/>
        <v>2906</v>
      </c>
      <c r="G7" s="12">
        <f t="shared" si="1"/>
        <v>563</v>
      </c>
      <c r="H7">
        <f t="shared" si="2"/>
        <v>27525.998401511206</v>
      </c>
      <c r="I7" s="12">
        <f t="shared" si="3"/>
        <v>5333.011063168499</v>
      </c>
      <c r="J7" s="43">
        <f t="shared" si="4"/>
        <v>-17012.002586409202</v>
      </c>
      <c r="K7" s="44">
        <f t="shared" si="5"/>
        <v>-3295.982099417345</v>
      </c>
      <c r="L7" s="40">
        <f t="shared" si="6"/>
        <v>300271729.99967295</v>
      </c>
      <c r="M7" s="34">
        <f t="shared" si="7"/>
        <v>0.0015984887950253324</v>
      </c>
      <c r="N7" s="12">
        <f t="shared" si="8"/>
        <v>-0.011063168499049425</v>
      </c>
      <c r="O7" s="43">
        <f t="shared" si="9"/>
        <v>0.0025864091994662886</v>
      </c>
      <c r="P7" s="44">
        <f t="shared" si="10"/>
        <v>-0.01790058265510197</v>
      </c>
      <c r="Q7" s="41">
        <f t="shared" si="11"/>
        <v>0.0003271203719392214</v>
      </c>
      <c r="R7" s="40">
        <f t="shared" si="12"/>
        <v>300271730.00000006</v>
      </c>
      <c r="S7" s="11"/>
    </row>
    <row r="8" spans="2:19" ht="15">
      <c r="B8" s="10">
        <f>'Komplex sjtért'!B8</f>
        <v>-4702</v>
      </c>
      <c r="C8" s="11">
        <f>'Komplex sjtért'!C8</f>
        <v>-911</v>
      </c>
      <c r="D8" s="10">
        <f>'Komplex sjtért'!B9</f>
        <v>2906</v>
      </c>
      <c r="E8" s="12">
        <f>'Komplex sjtért'!C9</f>
        <v>563</v>
      </c>
      <c r="F8" s="11">
        <f t="shared" si="0"/>
        <v>-1796</v>
      </c>
      <c r="G8" s="12">
        <f t="shared" si="1"/>
        <v>-348</v>
      </c>
      <c r="H8">
        <f t="shared" si="2"/>
        <v>-17012.002586409202</v>
      </c>
      <c r="I8" s="12">
        <f t="shared" si="3"/>
        <v>-3295.982099417345</v>
      </c>
      <c r="J8" s="43">
        <f t="shared" si="4"/>
        <v>10513.995815102006</v>
      </c>
      <c r="K8" s="44">
        <f t="shared" si="5"/>
        <v>2037.0289637511542</v>
      </c>
      <c r="L8" s="40">
        <f t="shared" si="6"/>
        <v>114693594.99914359</v>
      </c>
      <c r="M8" s="34">
        <f t="shared" si="7"/>
        <v>0.0025864091994662886</v>
      </c>
      <c r="N8" s="12">
        <f t="shared" si="8"/>
        <v>-0.01790058265510197</v>
      </c>
      <c r="O8" s="43">
        <f t="shared" si="9"/>
        <v>0.004184897994491621</v>
      </c>
      <c r="P8" s="44">
        <f t="shared" si="10"/>
        <v>-0.028963751154151396</v>
      </c>
      <c r="Q8" s="41">
        <f t="shared" si="11"/>
        <v>0.0008564122521439063</v>
      </c>
      <c r="R8" s="40">
        <f t="shared" si="12"/>
        <v>114693595</v>
      </c>
      <c r="S8" s="11"/>
    </row>
    <row r="9" spans="2:19" ht="15">
      <c r="B9" s="10">
        <f>'Komplex sjtért'!B9</f>
        <v>2906</v>
      </c>
      <c r="C9" s="11">
        <f>'Komplex sjtért'!C9</f>
        <v>563</v>
      </c>
      <c r="D9" s="10">
        <f>'Komplex sjtért'!B10</f>
        <v>-1796</v>
      </c>
      <c r="E9" s="12">
        <f>'Komplex sjtért'!C10</f>
        <v>-348</v>
      </c>
      <c r="F9" s="11">
        <f t="shared" si="0"/>
        <v>1110</v>
      </c>
      <c r="G9" s="12">
        <f t="shared" si="1"/>
        <v>215</v>
      </c>
      <c r="H9">
        <f t="shared" si="2"/>
        <v>10513.995815102006</v>
      </c>
      <c r="I9" s="12">
        <f t="shared" si="3"/>
        <v>2037.0289637511542</v>
      </c>
      <c r="J9" s="43">
        <f t="shared" si="4"/>
        <v>-6498.006771307195</v>
      </c>
      <c r="K9" s="44">
        <f t="shared" si="5"/>
        <v>-1258.953135666191</v>
      </c>
      <c r="L9" s="40">
        <f t="shared" si="6"/>
        <v>43809054.99775789</v>
      </c>
      <c r="M9" s="34">
        <f t="shared" si="7"/>
        <v>0.004184897994491621</v>
      </c>
      <c r="N9" s="12">
        <f t="shared" si="8"/>
        <v>-0.028963751154151396</v>
      </c>
      <c r="O9" s="43">
        <f t="shared" si="9"/>
        <v>0.006771307194185283</v>
      </c>
      <c r="P9" s="44">
        <f t="shared" si="10"/>
        <v>-0.04686433380925337</v>
      </c>
      <c r="Q9" s="41">
        <f t="shared" si="11"/>
        <v>0.0022421163845031534</v>
      </c>
      <c r="R9" s="40">
        <f t="shared" si="12"/>
        <v>43809055.00000001</v>
      </c>
      <c r="S9" s="11"/>
    </row>
    <row r="10" spans="2:19" ht="15">
      <c r="B10" s="10">
        <f>'Komplex sjtért'!B10</f>
        <v>-1796</v>
      </c>
      <c r="C10" s="11">
        <f>'Komplex sjtért'!C10</f>
        <v>-348</v>
      </c>
      <c r="D10" s="10">
        <f>'Komplex sjtért'!B11</f>
        <v>1110</v>
      </c>
      <c r="E10" s="12">
        <f>'Komplex sjtért'!C11</f>
        <v>215</v>
      </c>
      <c r="F10" s="11">
        <f t="shared" si="0"/>
        <v>-686</v>
      </c>
      <c r="G10" s="12">
        <f t="shared" si="1"/>
        <v>-133</v>
      </c>
      <c r="H10">
        <f t="shared" si="2"/>
        <v>-6498.006771307195</v>
      </c>
      <c r="I10" s="12">
        <f t="shared" si="3"/>
        <v>-1258.953135666191</v>
      </c>
      <c r="J10" s="43">
        <f t="shared" si="4"/>
        <v>4015.989043794811</v>
      </c>
      <c r="K10" s="44">
        <f t="shared" si="5"/>
        <v>778.0758280849634</v>
      </c>
      <c r="L10" s="40">
        <f t="shared" si="6"/>
        <v>16733569.994130064</v>
      </c>
      <c r="M10" s="34">
        <f t="shared" si="7"/>
        <v>0.006771307194185283</v>
      </c>
      <c r="N10" s="12">
        <f t="shared" si="8"/>
        <v>-0.04686433380925337</v>
      </c>
      <c r="O10" s="43">
        <f t="shared" si="9"/>
        <v>0.010956205188904278</v>
      </c>
      <c r="P10" s="44">
        <f t="shared" si="10"/>
        <v>-0.07582808496337634</v>
      </c>
      <c r="Q10" s="41">
        <f t="shared" si="11"/>
        <v>0.005869936901354395</v>
      </c>
      <c r="R10" s="40">
        <f t="shared" si="12"/>
        <v>16733570</v>
      </c>
      <c r="S10" s="11"/>
    </row>
    <row r="11" spans="2:19" ht="15">
      <c r="B11" s="10">
        <f>'Komplex sjtért'!B11</f>
        <v>1110</v>
      </c>
      <c r="C11" s="11">
        <f>'Komplex sjtért'!C11</f>
        <v>215</v>
      </c>
      <c r="D11" s="10">
        <f>'Komplex sjtért'!B12</f>
        <v>-686</v>
      </c>
      <c r="E11" s="12">
        <f>'Komplex sjtért'!C12</f>
        <v>-133</v>
      </c>
      <c r="F11" s="11">
        <f t="shared" si="0"/>
        <v>424</v>
      </c>
      <c r="G11" s="12">
        <f t="shared" si="1"/>
        <v>82</v>
      </c>
      <c r="H11">
        <f t="shared" si="2"/>
        <v>4015.989043794811</v>
      </c>
      <c r="I11" s="12">
        <f t="shared" si="3"/>
        <v>778.0758280849634</v>
      </c>
      <c r="J11" s="43">
        <f t="shared" si="4"/>
        <v>-2482.0177275123833</v>
      </c>
      <c r="K11" s="44">
        <f t="shared" si="5"/>
        <v>-480.8773075812274</v>
      </c>
      <c r="L11" s="40">
        <f t="shared" si="6"/>
        <v>6391654.984632306</v>
      </c>
      <c r="M11" s="34">
        <f t="shared" si="7"/>
        <v>0.010956205188904278</v>
      </c>
      <c r="N11" s="12">
        <f t="shared" si="8"/>
        <v>-0.07582808496337634</v>
      </c>
      <c r="O11" s="43">
        <f t="shared" si="9"/>
        <v>0.017727512383203248</v>
      </c>
      <c r="P11" s="44">
        <f t="shared" si="10"/>
        <v>-0.12269241877262971</v>
      </c>
      <c r="Q11" s="41">
        <f t="shared" si="11"/>
        <v>0.015367694319574963</v>
      </c>
      <c r="R11" s="40">
        <f t="shared" si="12"/>
        <v>6391655</v>
      </c>
      <c r="S11" s="11"/>
    </row>
    <row r="12" spans="2:19" ht="15">
      <c r="B12" s="10">
        <f>'Komplex sjtért'!B12</f>
        <v>-686</v>
      </c>
      <c r="C12" s="11">
        <f>'Komplex sjtért'!C12</f>
        <v>-133</v>
      </c>
      <c r="D12" s="10">
        <f>'Komplex sjtért'!B13</f>
        <v>424</v>
      </c>
      <c r="E12" s="12">
        <f>'Komplex sjtért'!C13</f>
        <v>82</v>
      </c>
      <c r="F12" s="11">
        <f t="shared" si="0"/>
        <v>-262</v>
      </c>
      <c r="G12" s="12">
        <f t="shared" si="1"/>
        <v>-51</v>
      </c>
      <c r="H12">
        <f t="shared" si="2"/>
        <v>-2482.0177275123833</v>
      </c>
      <c r="I12" s="12">
        <f t="shared" si="3"/>
        <v>-480.8773075812274</v>
      </c>
      <c r="J12" s="43">
        <f t="shared" si="4"/>
        <v>1533.971316282428</v>
      </c>
      <c r="K12" s="44">
        <f t="shared" si="5"/>
        <v>297.19852050373606</v>
      </c>
      <c r="L12" s="40">
        <f t="shared" si="6"/>
        <v>2441394.9597668545</v>
      </c>
      <c r="M12" s="34">
        <f t="shared" si="7"/>
        <v>0.017727512383203248</v>
      </c>
      <c r="N12" s="12">
        <f t="shared" si="8"/>
        <v>-0.12269241877262971</v>
      </c>
      <c r="O12" s="43">
        <f t="shared" si="9"/>
        <v>0.02868371757216437</v>
      </c>
      <c r="P12" s="44">
        <f t="shared" si="10"/>
        <v>-0.19852050373600605</v>
      </c>
      <c r="Q12" s="41">
        <f t="shared" si="11"/>
        <v>0.04023314605735728</v>
      </c>
      <c r="R12" s="40">
        <f t="shared" si="12"/>
        <v>2441395.0000000005</v>
      </c>
      <c r="S12" s="11"/>
    </row>
    <row r="13" spans="2:19" ht="15">
      <c r="B13" s="45">
        <f>'Komplex sjtért'!B13</f>
        <v>424</v>
      </c>
      <c r="C13" s="46">
        <f>'Komplex sjtért'!C13</f>
        <v>82</v>
      </c>
      <c r="D13" s="45">
        <f>'Komplex sjtért'!B14</f>
        <v>-262</v>
      </c>
      <c r="E13" s="47">
        <f>'Komplex sjtért'!C14</f>
        <v>-51</v>
      </c>
      <c r="F13" s="46">
        <f t="shared" si="0"/>
        <v>162</v>
      </c>
      <c r="G13" s="47">
        <f t="shared" si="1"/>
        <v>31</v>
      </c>
      <c r="H13">
        <f t="shared" si="2"/>
        <v>1533.971316282428</v>
      </c>
      <c r="I13" s="12">
        <f t="shared" si="3"/>
        <v>297.19852050373606</v>
      </c>
      <c r="J13" s="43">
        <f t="shared" si="4"/>
        <v>-948.0464112299554</v>
      </c>
      <c r="K13" s="44">
        <f t="shared" si="5"/>
        <v>-183.6787870774914</v>
      </c>
      <c r="L13" s="40">
        <f t="shared" si="6"/>
        <v>932529.8946682562</v>
      </c>
      <c r="M13" s="34">
        <f t="shared" si="7"/>
        <v>0.02868371757216437</v>
      </c>
      <c r="N13" s="12">
        <f t="shared" si="8"/>
        <v>-0.19852050373600605</v>
      </c>
      <c r="O13" s="43">
        <f t="shared" si="9"/>
        <v>0.04641122995536762</v>
      </c>
      <c r="P13" s="44">
        <f t="shared" si="10"/>
        <v>-0.32121292250862865</v>
      </c>
      <c r="Q13" s="41">
        <f t="shared" si="11"/>
        <v>0.10533174385250428</v>
      </c>
      <c r="R13" s="40">
        <f t="shared" si="12"/>
        <v>932530</v>
      </c>
      <c r="S13" s="11"/>
    </row>
    <row r="14" spans="2:19" ht="15">
      <c r="B14" s="10">
        <f>'Komplex sjtért'!B14</f>
        <v>-262</v>
      </c>
      <c r="C14" s="11">
        <f>'Komplex sjtért'!C14</f>
        <v>-51</v>
      </c>
      <c r="D14" s="10">
        <f>'Komplex sjtért'!B15</f>
        <v>162</v>
      </c>
      <c r="E14" s="12">
        <f>'Komplex sjtért'!C15</f>
        <v>31</v>
      </c>
      <c r="F14" s="11">
        <f t="shared" si="0"/>
        <v>-100</v>
      </c>
      <c r="G14" s="12">
        <f t="shared" si="1"/>
        <v>-20</v>
      </c>
      <c r="H14">
        <f>B13*$I$2+D13*$I$3</f>
        <v>-948.0464112299554</v>
      </c>
      <c r="I14" s="12">
        <f>C13*$I$2+E13*$I$3</f>
        <v>-183.6787870774914</v>
      </c>
      <c r="J14" s="43">
        <f>D13*$I$2+F13*$I$3</f>
        <v>585.9249050524725</v>
      </c>
      <c r="K14" s="44">
        <f>E13*$I$2+G13*$I$3</f>
        <v>113.51973342624464</v>
      </c>
      <c r="L14" s="40">
        <f>J14*J14+K14*K14</f>
        <v>356194.7242379145</v>
      </c>
      <c r="M14" s="34">
        <f>B13*$N$2+D13*$N$3</f>
        <v>0.04641122995536762</v>
      </c>
      <c r="N14" s="12">
        <f>C13*$N$2+E13*$N$3</f>
        <v>-0.32121292250862865</v>
      </c>
      <c r="O14" s="43">
        <f>D13*$N$2+F13*$N$3</f>
        <v>0.07509494752756041</v>
      </c>
      <c r="P14" s="44">
        <f>E13*$N$2+G13*$N$3</f>
        <v>-0.5197334262446347</v>
      </c>
      <c r="Q14" s="41">
        <f>O14*O14+P14*P14</f>
        <v>0.27576208550015424</v>
      </c>
      <c r="R14" s="40">
        <f>L14+Q14</f>
        <v>356195</v>
      </c>
      <c r="S14" s="11"/>
    </row>
    <row r="15" spans="2:18" ht="15">
      <c r="B15" s="10">
        <f>'Komplex sjtért'!B15</f>
        <v>162</v>
      </c>
      <c r="C15" s="11">
        <f>'Komplex sjtért'!C15</f>
        <v>31</v>
      </c>
      <c r="D15" s="10">
        <f>'Komplex sjtért'!B16</f>
        <v>-100</v>
      </c>
      <c r="E15" s="12">
        <f>'Komplex sjtért'!C16</f>
        <v>-20</v>
      </c>
      <c r="F15" s="11">
        <f t="shared" si="0"/>
        <v>62</v>
      </c>
      <c r="G15" s="12">
        <f t="shared" si="1"/>
        <v>11</v>
      </c>
      <c r="H15">
        <f aca="true" t="shared" si="13" ref="H15:H31">B14*$I$2+D14*$I$3</f>
        <v>585.9249050524725</v>
      </c>
      <c r="I15" s="12">
        <f aca="true" t="shared" si="14" ref="I15:I31">C14*$I$2+E14*$I$3</f>
        <v>113.51973342624464</v>
      </c>
      <c r="J15" s="43">
        <f aca="true" t="shared" si="15" ref="J15:J31">D14*$I$2+F14*$I$3</f>
        <v>-362.12150617748296</v>
      </c>
      <c r="K15" s="44">
        <f aca="true" t="shared" si="16" ref="K15:K31">E14*$I$2+G14*$I$3</f>
        <v>-70.15905365124675</v>
      </c>
      <c r="L15" s="40">
        <f aca="true" t="shared" si="17" ref="L15:L31">J15*J15+K15*K15</f>
        <v>136054.27804548733</v>
      </c>
      <c r="M15" s="34">
        <f aca="true" t="shared" si="18" ref="M15:M31">B14*$N$2+D14*$N$3</f>
        <v>0.07509494752756041</v>
      </c>
      <c r="N15" s="12">
        <f aca="true" t="shared" si="19" ref="N15:N31">C14*$N$2+E14*$N$3</f>
        <v>-0.5197334262446347</v>
      </c>
      <c r="O15" s="43">
        <f aca="true" t="shared" si="20" ref="O15:O31">D14*$N$2+F14*$N$3</f>
        <v>0.12150617748295645</v>
      </c>
      <c r="P15" s="44">
        <f aca="true" t="shared" si="21" ref="P15:P31">E14*$N$2+G14*$N$3</f>
        <v>-0.8409463487532598</v>
      </c>
      <c r="Q15" s="41">
        <f aca="true" t="shared" si="22" ref="Q15:Q31">O15*O15+P15*P15</f>
        <v>0.721954512647959</v>
      </c>
      <c r="R15" s="40">
        <f aca="true" t="shared" si="23" ref="R15:R31">L15+Q15</f>
        <v>136054.99999999997</v>
      </c>
    </row>
    <row r="16" spans="2:18" ht="15">
      <c r="B16" s="10">
        <f>'Komplex sjtért'!B16</f>
        <v>-100</v>
      </c>
      <c r="C16" s="11">
        <f>'Komplex sjtért'!C16</f>
        <v>-20</v>
      </c>
      <c r="D16" s="10">
        <f>'Komplex sjtért'!B17</f>
        <v>62</v>
      </c>
      <c r="E16" s="12">
        <f>'Komplex sjtért'!C17</f>
        <v>11</v>
      </c>
      <c r="F16" s="11">
        <f t="shared" si="0"/>
        <v>-38</v>
      </c>
      <c r="G16" s="12">
        <f t="shared" si="1"/>
        <v>-9</v>
      </c>
      <c r="H16">
        <f t="shared" si="13"/>
        <v>-362.12150617748296</v>
      </c>
      <c r="I16" s="12">
        <f t="shared" si="14"/>
        <v>-70.15905365124675</v>
      </c>
      <c r="J16" s="43">
        <f t="shared" si="15"/>
        <v>223.80339887498948</v>
      </c>
      <c r="K16" s="44">
        <f t="shared" si="16"/>
        <v>43.3606797749979</v>
      </c>
      <c r="L16" s="40">
        <f t="shared" si="17"/>
        <v>51968.10989854756</v>
      </c>
      <c r="M16" s="34">
        <f t="shared" si="18"/>
        <v>0.12150617748295645</v>
      </c>
      <c r="N16" s="12">
        <f t="shared" si="19"/>
        <v>-0.8409463487532598</v>
      </c>
      <c r="O16" s="43">
        <f t="shared" si="20"/>
        <v>0.19660112501052396</v>
      </c>
      <c r="P16" s="44">
        <f t="shared" si="21"/>
        <v>-1.3606797749978963</v>
      </c>
      <c r="Q16" s="41">
        <f t="shared" si="22"/>
        <v>1.8901014524437292</v>
      </c>
      <c r="R16" s="40">
        <f t="shared" si="23"/>
        <v>51970.00000000001</v>
      </c>
    </row>
    <row r="17" spans="2:18" ht="15">
      <c r="B17" s="10">
        <f>'Komplex sjtért'!B17</f>
        <v>62</v>
      </c>
      <c r="C17" s="11">
        <f>'Komplex sjtért'!C17</f>
        <v>11</v>
      </c>
      <c r="D17" s="10">
        <f>'Komplex sjtért'!B18</f>
        <v>-38</v>
      </c>
      <c r="E17" s="12">
        <f>'Komplex sjtért'!C18</f>
        <v>-9</v>
      </c>
      <c r="F17" s="11">
        <f t="shared" si="0"/>
        <v>24</v>
      </c>
      <c r="G17" s="12">
        <f t="shared" si="1"/>
        <v>2</v>
      </c>
      <c r="H17">
        <f t="shared" si="13"/>
        <v>223.80339887498948</v>
      </c>
      <c r="I17" s="12">
        <f t="shared" si="14"/>
        <v>43.3606797749979</v>
      </c>
      <c r="J17" s="43">
        <f t="shared" si="15"/>
        <v>-138.3181073024935</v>
      </c>
      <c r="K17" s="44">
        <f t="shared" si="16"/>
        <v>-26.798373876248846</v>
      </c>
      <c r="L17" s="40">
        <f t="shared" si="17"/>
        <v>19850.05165015532</v>
      </c>
      <c r="M17" s="34">
        <f t="shared" si="18"/>
        <v>0.19660112501052396</v>
      </c>
      <c r="N17" s="12">
        <f t="shared" si="19"/>
        <v>-1.3606797749978963</v>
      </c>
      <c r="O17" s="43">
        <f t="shared" si="20"/>
        <v>0.3181073024934804</v>
      </c>
      <c r="P17" s="44">
        <f t="shared" si="21"/>
        <v>-2.201626123751157</v>
      </c>
      <c r="Q17" s="41">
        <f t="shared" si="22"/>
        <v>4.948349844683223</v>
      </c>
      <c r="R17" s="40">
        <f t="shared" si="23"/>
        <v>19855.000000000004</v>
      </c>
    </row>
    <row r="18" spans="2:18" ht="15">
      <c r="B18" s="10">
        <f>'Komplex sjtért'!B18</f>
        <v>-38</v>
      </c>
      <c r="C18" s="11">
        <f>'Komplex sjtért'!C18</f>
        <v>-9</v>
      </c>
      <c r="D18" s="10">
        <f>'Komplex sjtért'!B19</f>
        <v>24</v>
      </c>
      <c r="E18" s="12">
        <f>'Komplex sjtért'!C19</f>
        <v>2</v>
      </c>
      <c r="F18" s="11">
        <f t="shared" si="0"/>
        <v>-14</v>
      </c>
      <c r="G18" s="12">
        <f t="shared" si="1"/>
        <v>-7</v>
      </c>
      <c r="H18">
        <f t="shared" si="13"/>
        <v>-138.3181073024935</v>
      </c>
      <c r="I18" s="12">
        <f t="shared" si="14"/>
        <v>-26.798373876248846</v>
      </c>
      <c r="J18" s="43">
        <f t="shared" si="15"/>
        <v>85.48529157249601</v>
      </c>
      <c r="K18" s="44">
        <f t="shared" si="16"/>
        <v>16.562305898749052</v>
      </c>
      <c r="L18" s="40">
        <f t="shared" si="17"/>
        <v>7582.045051918395</v>
      </c>
      <c r="M18" s="34">
        <f t="shared" si="18"/>
        <v>0.3181073024934804</v>
      </c>
      <c r="N18" s="12">
        <f t="shared" si="19"/>
        <v>-2.201626123751157</v>
      </c>
      <c r="O18" s="43">
        <f t="shared" si="20"/>
        <v>0.5147084275039973</v>
      </c>
      <c r="P18" s="44">
        <f t="shared" si="21"/>
        <v>-3.5623058987490532</v>
      </c>
      <c r="Q18" s="41">
        <f t="shared" si="22"/>
        <v>12.954948081605938</v>
      </c>
      <c r="R18" s="40">
        <f t="shared" si="23"/>
        <v>7595.000000000001</v>
      </c>
    </row>
    <row r="19" spans="2:18" ht="15">
      <c r="B19" s="10">
        <f>'Komplex sjtért'!B19</f>
        <v>24</v>
      </c>
      <c r="C19" s="11">
        <f>'Komplex sjtért'!C19</f>
        <v>2</v>
      </c>
      <c r="D19" s="10">
        <f>'Komplex sjtért'!B20</f>
        <v>-14</v>
      </c>
      <c r="E19" s="12">
        <f>'Komplex sjtért'!C20</f>
        <v>-7</v>
      </c>
      <c r="F19" s="11">
        <f t="shared" si="0"/>
        <v>10</v>
      </c>
      <c r="G19" s="12">
        <f t="shared" si="1"/>
        <v>-5</v>
      </c>
      <c r="H19">
        <f t="shared" si="13"/>
        <v>85.48529157249601</v>
      </c>
      <c r="I19" s="12">
        <f t="shared" si="14"/>
        <v>16.562305898749052</v>
      </c>
      <c r="J19" s="43">
        <f t="shared" si="15"/>
        <v>-52.83281572999748</v>
      </c>
      <c r="K19" s="44">
        <f t="shared" si="16"/>
        <v>-10.23606797749979</v>
      </c>
      <c r="L19" s="40">
        <f t="shared" si="17"/>
        <v>2896.083505599866</v>
      </c>
      <c r="M19" s="34">
        <f t="shared" si="18"/>
        <v>0.5147084275039973</v>
      </c>
      <c r="N19" s="12">
        <f t="shared" si="19"/>
        <v>-3.5623058987490532</v>
      </c>
      <c r="O19" s="43">
        <f t="shared" si="20"/>
        <v>0.8328157299974741</v>
      </c>
      <c r="P19" s="44">
        <f t="shared" si="21"/>
        <v>-5.76393202250021</v>
      </c>
      <c r="Q19" s="41">
        <f t="shared" si="22"/>
        <v>33.91649440013459</v>
      </c>
      <c r="R19" s="40">
        <f t="shared" si="23"/>
        <v>2930.0000000000005</v>
      </c>
    </row>
    <row r="20" spans="2:18" ht="15">
      <c r="B20" s="10">
        <f>'Komplex sjtért'!B20</f>
        <v>-14</v>
      </c>
      <c r="C20" s="11">
        <f>'Komplex sjtért'!C20</f>
        <v>-7</v>
      </c>
      <c r="D20" s="10">
        <f>'Komplex sjtért'!B21</f>
        <v>10</v>
      </c>
      <c r="E20" s="12">
        <f>'Komplex sjtért'!C21</f>
        <v>-5</v>
      </c>
      <c r="F20" s="11">
        <f t="shared" si="0"/>
        <v>-4</v>
      </c>
      <c r="G20" s="12">
        <f t="shared" si="1"/>
        <v>-12</v>
      </c>
      <c r="H20">
        <f t="shared" si="13"/>
        <v>-52.83281572999748</v>
      </c>
      <c r="I20" s="12">
        <f t="shared" si="14"/>
        <v>-10.23606797749979</v>
      </c>
      <c r="J20" s="43">
        <f t="shared" si="15"/>
        <v>32.65247584249853</v>
      </c>
      <c r="K20" s="44">
        <f t="shared" si="16"/>
        <v>6.326237921249264</v>
      </c>
      <c r="L20" s="40">
        <f t="shared" si="17"/>
        <v>1106.2054648812025</v>
      </c>
      <c r="M20" s="34">
        <f t="shared" si="18"/>
        <v>0.8328157299974741</v>
      </c>
      <c r="N20" s="12">
        <f t="shared" si="19"/>
        <v>-5.76393202250021</v>
      </c>
      <c r="O20" s="43">
        <f t="shared" si="20"/>
        <v>1.3475241575014731</v>
      </c>
      <c r="P20" s="44">
        <f t="shared" si="21"/>
        <v>-9.326237921249263</v>
      </c>
      <c r="Q20" s="41">
        <f t="shared" si="22"/>
        <v>88.79453511879782</v>
      </c>
      <c r="R20" s="40">
        <f t="shared" si="23"/>
        <v>1195.0000000000002</v>
      </c>
    </row>
    <row r="21" spans="2:18" ht="15">
      <c r="B21" s="10">
        <f>'Komplex sjtért'!B21</f>
        <v>10</v>
      </c>
      <c r="C21" s="11">
        <f>'Komplex sjtért'!C21</f>
        <v>-5</v>
      </c>
      <c r="D21" s="10">
        <f>'Komplex sjtért'!B22</f>
        <v>-4</v>
      </c>
      <c r="E21" s="12">
        <f>'Komplex sjtért'!C22</f>
        <v>-12</v>
      </c>
      <c r="F21" s="11">
        <f t="shared" si="0"/>
        <v>6</v>
      </c>
      <c r="G21" s="12">
        <f t="shared" si="1"/>
        <v>-17</v>
      </c>
      <c r="H21">
        <f t="shared" si="13"/>
        <v>32.65247584249853</v>
      </c>
      <c r="I21" s="12">
        <f t="shared" si="14"/>
        <v>6.326237921249264</v>
      </c>
      <c r="J21" s="43">
        <f t="shared" si="15"/>
        <v>-20.18033988749895</v>
      </c>
      <c r="K21" s="44">
        <f t="shared" si="16"/>
        <v>-3.9098300562505255</v>
      </c>
      <c r="L21" s="40">
        <f t="shared" si="17"/>
        <v>422.5328890437411</v>
      </c>
      <c r="M21" s="34">
        <f t="shared" si="18"/>
        <v>1.3475241575014731</v>
      </c>
      <c r="N21" s="12">
        <f t="shared" si="19"/>
        <v>-9.326237921249263</v>
      </c>
      <c r="O21" s="43">
        <f t="shared" si="20"/>
        <v>2.180339887498948</v>
      </c>
      <c r="P21" s="44">
        <f t="shared" si="21"/>
        <v>-15.090169943749475</v>
      </c>
      <c r="Q21" s="41">
        <f t="shared" si="22"/>
        <v>232.46711095625895</v>
      </c>
      <c r="R21" s="40">
        <f t="shared" si="23"/>
        <v>655</v>
      </c>
    </row>
    <row r="22" spans="2:18" ht="15">
      <c r="B22" s="10">
        <f>'Komplex sjtért'!B22</f>
        <v>-4</v>
      </c>
      <c r="C22" s="11">
        <f>'Komplex sjtért'!C22</f>
        <v>-12</v>
      </c>
      <c r="D22" s="10">
        <f>'Komplex sjtért'!B23</f>
        <v>6</v>
      </c>
      <c r="E22" s="12">
        <f>'Komplex sjtért'!C23</f>
        <v>-17</v>
      </c>
      <c r="F22" s="11">
        <f t="shared" si="0"/>
        <v>2</v>
      </c>
      <c r="G22" s="12">
        <f t="shared" si="1"/>
        <v>-29</v>
      </c>
      <c r="H22">
        <f t="shared" si="13"/>
        <v>-20.18033988749895</v>
      </c>
      <c r="I22" s="12">
        <f t="shared" si="14"/>
        <v>-3.9098300562505255</v>
      </c>
      <c r="J22" s="43">
        <f t="shared" si="15"/>
        <v>12.47213595499958</v>
      </c>
      <c r="K22" s="44">
        <f t="shared" si="16"/>
        <v>2.416407864998739</v>
      </c>
      <c r="L22" s="40">
        <f t="shared" si="17"/>
        <v>161.39320225002103</v>
      </c>
      <c r="M22" s="34">
        <f t="shared" si="18"/>
        <v>2.180339887498948</v>
      </c>
      <c r="N22" s="12">
        <f t="shared" si="19"/>
        <v>-15.090169943749475</v>
      </c>
      <c r="O22" s="43">
        <f t="shared" si="20"/>
        <v>3.527864045000421</v>
      </c>
      <c r="P22" s="44">
        <f t="shared" si="21"/>
        <v>-24.41640786499874</v>
      </c>
      <c r="Q22" s="41">
        <f t="shared" si="22"/>
        <v>608.606797749979</v>
      </c>
      <c r="R22" s="40">
        <f t="shared" si="23"/>
        <v>770</v>
      </c>
    </row>
    <row r="23" spans="2:18" ht="15">
      <c r="B23" s="10">
        <f>'Komplex sjtért'!B23</f>
        <v>6</v>
      </c>
      <c r="C23" s="11">
        <f>'Komplex sjtért'!C23</f>
        <v>-17</v>
      </c>
      <c r="D23" s="10">
        <f>'Komplex sjtért'!B24</f>
        <v>2</v>
      </c>
      <c r="E23" s="12">
        <f>'Komplex sjtért'!C24</f>
        <v>-29</v>
      </c>
      <c r="F23" s="11">
        <f t="shared" si="0"/>
        <v>8</v>
      </c>
      <c r="G23" s="12">
        <f t="shared" si="1"/>
        <v>-46</v>
      </c>
      <c r="H23">
        <f t="shared" si="13"/>
        <v>12.47213595499958</v>
      </c>
      <c r="I23" s="12">
        <f t="shared" si="14"/>
        <v>2.416407864998739</v>
      </c>
      <c r="J23" s="43">
        <f t="shared" si="15"/>
        <v>-7.708203932499369</v>
      </c>
      <c r="K23" s="44">
        <f t="shared" si="16"/>
        <v>-1.4934221912517884</v>
      </c>
      <c r="L23" s="40">
        <f t="shared" si="17"/>
        <v>61.646717706322036</v>
      </c>
      <c r="M23" s="34">
        <f t="shared" si="18"/>
        <v>3.527864045000421</v>
      </c>
      <c r="N23" s="12">
        <f t="shared" si="19"/>
        <v>-24.41640786499874</v>
      </c>
      <c r="O23" s="43">
        <f t="shared" si="20"/>
        <v>5.7082039324993685</v>
      </c>
      <c r="P23" s="44">
        <f t="shared" si="21"/>
        <v>-39.50657780874821</v>
      </c>
      <c r="Q23" s="41">
        <f t="shared" si="22"/>
        <v>1593.353282293678</v>
      </c>
      <c r="R23" s="40">
        <f t="shared" si="23"/>
        <v>1655</v>
      </c>
    </row>
    <row r="24" spans="2:18" ht="15">
      <c r="B24" s="10">
        <f>'Komplex sjtért'!B24</f>
        <v>2</v>
      </c>
      <c r="C24" s="11">
        <f>'Komplex sjtért'!C24</f>
        <v>-29</v>
      </c>
      <c r="D24" s="10">
        <f>'Komplex sjtért'!B25</f>
        <v>8</v>
      </c>
      <c r="E24" s="12">
        <f>'Komplex sjtért'!C25</f>
        <v>-46</v>
      </c>
      <c r="F24" s="11">
        <f t="shared" si="0"/>
        <v>10</v>
      </c>
      <c r="G24" s="12">
        <f t="shared" si="1"/>
        <v>-75</v>
      </c>
      <c r="H24">
        <f t="shared" si="13"/>
        <v>-7.708203932499369</v>
      </c>
      <c r="I24" s="12">
        <f t="shared" si="14"/>
        <v>-1.4934221912517884</v>
      </c>
      <c r="J24" s="43">
        <f t="shared" si="15"/>
        <v>4.76393202250021</v>
      </c>
      <c r="K24" s="44">
        <f t="shared" si="16"/>
        <v>0.9229856737469504</v>
      </c>
      <c r="L24" s="40">
        <f t="shared" si="17"/>
        <v>23.546950868945054</v>
      </c>
      <c r="M24" s="34">
        <f t="shared" si="18"/>
        <v>5.7082039324993685</v>
      </c>
      <c r="N24" s="12">
        <f t="shared" si="19"/>
        <v>-39.50657780874821</v>
      </c>
      <c r="O24" s="43">
        <f t="shared" si="20"/>
        <v>9.23606797749979</v>
      </c>
      <c r="P24" s="44">
        <f t="shared" si="21"/>
        <v>-63.92298567374695</v>
      </c>
      <c r="Q24" s="41">
        <f t="shared" si="22"/>
        <v>4171.453049131055</v>
      </c>
      <c r="R24" s="40">
        <f t="shared" si="23"/>
        <v>4195</v>
      </c>
    </row>
    <row r="25" spans="2:18" ht="15">
      <c r="B25" s="10">
        <f>'Komplex sjtért'!B25</f>
        <v>8</v>
      </c>
      <c r="C25" s="11">
        <f>'Komplex sjtért'!C25</f>
        <v>-46</v>
      </c>
      <c r="D25" s="10">
        <f>'Komplex sjtért'!B26</f>
        <v>10</v>
      </c>
      <c r="E25" s="12">
        <f>'Komplex sjtért'!C26</f>
        <v>-75</v>
      </c>
      <c r="F25" s="11">
        <f t="shared" si="0"/>
        <v>18</v>
      </c>
      <c r="G25" s="12">
        <f t="shared" si="1"/>
        <v>-121</v>
      </c>
      <c r="H25">
        <f t="shared" si="13"/>
        <v>4.76393202250021</v>
      </c>
      <c r="I25" s="12">
        <f t="shared" si="14"/>
        <v>0.9229856737469504</v>
      </c>
      <c r="J25" s="43">
        <f t="shared" si="15"/>
        <v>-2.944271909999159</v>
      </c>
      <c r="K25" s="44">
        <f t="shared" si="16"/>
        <v>-0.5704365175048309</v>
      </c>
      <c r="L25" s="40">
        <f t="shared" si="17"/>
        <v>8.994134900513135</v>
      </c>
      <c r="M25" s="34">
        <f t="shared" si="18"/>
        <v>9.23606797749979</v>
      </c>
      <c r="N25" s="12">
        <f t="shared" si="19"/>
        <v>-63.92298567374695</v>
      </c>
      <c r="O25" s="43">
        <f t="shared" si="20"/>
        <v>14.94427190999916</v>
      </c>
      <c r="P25" s="44">
        <f t="shared" si="21"/>
        <v>-103.42956348249515</v>
      </c>
      <c r="Q25" s="41">
        <f t="shared" si="22"/>
        <v>10921.005865099485</v>
      </c>
      <c r="R25" s="40">
        <f t="shared" si="23"/>
        <v>10929.999999999998</v>
      </c>
    </row>
    <row r="26" spans="2:18" ht="15">
      <c r="B26" s="10">
        <f>'Komplex sjtért'!B26</f>
        <v>10</v>
      </c>
      <c r="C26" s="11">
        <f>'Komplex sjtért'!C26</f>
        <v>-75</v>
      </c>
      <c r="D26" s="10">
        <f>'Komplex sjtért'!B27</f>
        <v>18</v>
      </c>
      <c r="E26" s="12">
        <f>'Komplex sjtért'!C27</f>
        <v>-121</v>
      </c>
      <c r="F26" s="11">
        <f t="shared" si="0"/>
        <v>28</v>
      </c>
      <c r="G26" s="12">
        <f t="shared" si="1"/>
        <v>-196</v>
      </c>
      <c r="H26">
        <f t="shared" si="13"/>
        <v>-2.944271909999159</v>
      </c>
      <c r="I26" s="12">
        <f t="shared" si="14"/>
        <v>-0.5704365175048309</v>
      </c>
      <c r="J26" s="43">
        <f t="shared" si="15"/>
        <v>1.819660112501051</v>
      </c>
      <c r="K26" s="44">
        <f t="shared" si="16"/>
        <v>0.35254915624211947</v>
      </c>
      <c r="L26" s="40">
        <f t="shared" si="17"/>
        <v>3.4354538325943675</v>
      </c>
      <c r="M26" s="34">
        <f t="shared" si="18"/>
        <v>14.94427190999916</v>
      </c>
      <c r="N26" s="12">
        <f t="shared" si="19"/>
        <v>-103.42956348249515</v>
      </c>
      <c r="O26" s="43">
        <f t="shared" si="20"/>
        <v>24.18033988749895</v>
      </c>
      <c r="P26" s="44">
        <f t="shared" si="21"/>
        <v>-167.3525491562421</v>
      </c>
      <c r="Q26" s="41">
        <f t="shared" si="22"/>
        <v>28591.564546167403</v>
      </c>
      <c r="R26" s="40">
        <f t="shared" si="23"/>
        <v>28594.999999999996</v>
      </c>
    </row>
    <row r="27" spans="2:18" ht="15">
      <c r="B27" s="10">
        <f>'Komplex sjtért'!B27</f>
        <v>18</v>
      </c>
      <c r="C27" s="11">
        <f>'Komplex sjtért'!C27</f>
        <v>-121</v>
      </c>
      <c r="D27" s="10">
        <f>'Komplex sjtért'!B28</f>
        <v>28</v>
      </c>
      <c r="E27" s="12">
        <f>'Komplex sjtért'!C28</f>
        <v>-196</v>
      </c>
      <c r="F27" s="11">
        <f t="shared" si="0"/>
        <v>46</v>
      </c>
      <c r="G27" s="12">
        <f t="shared" si="1"/>
        <v>-317</v>
      </c>
      <c r="H27">
        <f t="shared" si="13"/>
        <v>1.819660112501051</v>
      </c>
      <c r="I27" s="12">
        <f t="shared" si="14"/>
        <v>0.35254915624211947</v>
      </c>
      <c r="J27" s="43">
        <f t="shared" si="15"/>
        <v>-1.1246117974981082</v>
      </c>
      <c r="K27" s="44">
        <f t="shared" si="16"/>
        <v>-0.21788736126271147</v>
      </c>
      <c r="L27" s="40">
        <f t="shared" si="17"/>
        <v>1.3122265972699534</v>
      </c>
      <c r="M27" s="34">
        <f t="shared" si="18"/>
        <v>24.18033988749895</v>
      </c>
      <c r="N27" s="12">
        <f t="shared" si="19"/>
        <v>-167.3525491562421</v>
      </c>
      <c r="O27" s="43">
        <f t="shared" si="20"/>
        <v>39.124611797498105</v>
      </c>
      <c r="P27" s="44">
        <f t="shared" si="21"/>
        <v>-270.78211263873726</v>
      </c>
      <c r="Q27" s="41">
        <f t="shared" si="22"/>
        <v>74853.68777340272</v>
      </c>
      <c r="R27" s="40">
        <f t="shared" si="23"/>
        <v>74854.99999999999</v>
      </c>
    </row>
    <row r="28" spans="2:18" ht="15">
      <c r="B28" s="10">
        <f>'Komplex sjtért'!B28</f>
        <v>28</v>
      </c>
      <c r="C28" s="11">
        <f>'Komplex sjtért'!C28</f>
        <v>-196</v>
      </c>
      <c r="D28" s="10">
        <f>'Komplex sjtért'!B29</f>
        <v>46</v>
      </c>
      <c r="E28" s="12">
        <f>'Komplex sjtért'!C29</f>
        <v>-317</v>
      </c>
      <c r="F28" s="11">
        <f t="shared" si="0"/>
        <v>74</v>
      </c>
      <c r="G28" s="12">
        <f t="shared" si="1"/>
        <v>-513</v>
      </c>
      <c r="H28">
        <f t="shared" si="13"/>
        <v>-1.1246117974981082</v>
      </c>
      <c r="I28" s="12">
        <f t="shared" si="14"/>
        <v>-0.21788736126271147</v>
      </c>
      <c r="J28" s="43">
        <f t="shared" si="15"/>
        <v>0.6950483150029427</v>
      </c>
      <c r="K28" s="44">
        <f t="shared" si="16"/>
        <v>0.1346617949794222</v>
      </c>
      <c r="L28" s="40">
        <f t="shared" si="17"/>
        <v>0.5012259592155098</v>
      </c>
      <c r="M28" s="34">
        <f t="shared" si="18"/>
        <v>39.124611797498105</v>
      </c>
      <c r="N28" s="12">
        <f t="shared" si="19"/>
        <v>-270.78211263873726</v>
      </c>
      <c r="O28" s="43">
        <f t="shared" si="20"/>
        <v>63.30495168499705</v>
      </c>
      <c r="P28" s="44">
        <f t="shared" si="21"/>
        <v>-438.13466179497937</v>
      </c>
      <c r="Q28" s="41">
        <f t="shared" si="22"/>
        <v>195969.49877404075</v>
      </c>
      <c r="R28" s="40">
        <f t="shared" si="23"/>
        <v>195969.99999999997</v>
      </c>
    </row>
    <row r="29" spans="2:18" ht="15">
      <c r="B29" s="10">
        <f>'Komplex sjtért'!B29</f>
        <v>46</v>
      </c>
      <c r="C29" s="11">
        <f>'Komplex sjtért'!C29</f>
        <v>-317</v>
      </c>
      <c r="D29" s="10">
        <f>'Komplex sjtért'!B30</f>
        <v>74</v>
      </c>
      <c r="E29" s="12">
        <f>'Komplex sjtért'!C30</f>
        <v>-513</v>
      </c>
      <c r="F29" s="11">
        <f t="shared" si="0"/>
        <v>120</v>
      </c>
      <c r="G29" s="12">
        <f t="shared" si="1"/>
        <v>-830</v>
      </c>
      <c r="H29">
        <f t="shared" si="13"/>
        <v>0.6950483150029427</v>
      </c>
      <c r="I29" s="12">
        <f t="shared" si="14"/>
        <v>0.1346617949794222</v>
      </c>
      <c r="J29" s="43">
        <f t="shared" si="15"/>
        <v>-0.42956348249516907</v>
      </c>
      <c r="K29" s="44">
        <f t="shared" si="16"/>
        <v>-0.08322556628331768</v>
      </c>
      <c r="L29" s="40">
        <f t="shared" si="17"/>
        <v>0.19145128037655632</v>
      </c>
      <c r="M29" s="34">
        <f t="shared" si="18"/>
        <v>63.30495168499705</v>
      </c>
      <c r="N29" s="12">
        <f t="shared" si="19"/>
        <v>-438.13466179497937</v>
      </c>
      <c r="O29" s="43">
        <f t="shared" si="20"/>
        <v>102.42956348249515</v>
      </c>
      <c r="P29" s="44">
        <f t="shared" si="21"/>
        <v>-708.9167744337167</v>
      </c>
      <c r="Q29" s="41">
        <f t="shared" si="22"/>
        <v>513054.8085487196</v>
      </c>
      <c r="R29" s="40">
        <f t="shared" si="23"/>
        <v>513055</v>
      </c>
    </row>
    <row r="30" spans="2:18" ht="15">
      <c r="B30" s="10">
        <f>'Komplex sjtért'!B30</f>
        <v>74</v>
      </c>
      <c r="C30" s="11">
        <f>'Komplex sjtért'!C30</f>
        <v>-513</v>
      </c>
      <c r="D30" s="10">
        <f>'Komplex sjtért'!B31</f>
        <v>120</v>
      </c>
      <c r="E30" s="12">
        <f>'Komplex sjtért'!C31</f>
        <v>-830</v>
      </c>
      <c r="F30" s="11">
        <f t="shared" si="0"/>
        <v>194</v>
      </c>
      <c r="G30" s="12">
        <f t="shared" si="1"/>
        <v>-1343</v>
      </c>
      <c r="H30">
        <f t="shared" si="13"/>
        <v>-0.42956348249516907</v>
      </c>
      <c r="I30" s="12">
        <f t="shared" si="14"/>
        <v>-0.08322556628331768</v>
      </c>
      <c r="J30" s="43">
        <f t="shared" si="15"/>
        <v>0.26548483250778077</v>
      </c>
      <c r="K30" s="44">
        <f t="shared" si="16"/>
        <v>0.05143622869604769</v>
      </c>
      <c r="L30" s="40">
        <f t="shared" si="17"/>
        <v>0.07312788191415653</v>
      </c>
      <c r="M30" s="34">
        <f t="shared" si="18"/>
        <v>102.42956348249515</v>
      </c>
      <c r="N30" s="12">
        <f t="shared" si="19"/>
        <v>-708.9167744337167</v>
      </c>
      <c r="O30" s="43">
        <f t="shared" si="20"/>
        <v>165.73451516749222</v>
      </c>
      <c r="P30" s="44">
        <f t="shared" si="21"/>
        <v>-1147.051436228696</v>
      </c>
      <c r="Q30" s="41">
        <f t="shared" si="22"/>
        <v>1343194.9268721181</v>
      </c>
      <c r="R30" s="40">
        <f t="shared" si="23"/>
        <v>1343195</v>
      </c>
    </row>
    <row r="31" spans="2:18" ht="15">
      <c r="B31" s="10">
        <f>'Komplex sjtért'!B31</f>
        <v>120</v>
      </c>
      <c r="C31" s="11">
        <f>'Komplex sjtért'!C31</f>
        <v>-830</v>
      </c>
      <c r="D31" s="10">
        <f>'Komplex sjtért'!B32</f>
        <v>194</v>
      </c>
      <c r="E31" s="12">
        <f>'Komplex sjtért'!C32</f>
        <v>-1343</v>
      </c>
      <c r="F31" s="11">
        <f t="shared" si="0"/>
        <v>314</v>
      </c>
      <c r="G31" s="12">
        <f t="shared" si="1"/>
        <v>-2173</v>
      </c>
      <c r="H31">
        <f t="shared" si="13"/>
        <v>0.26548483250778077</v>
      </c>
      <c r="I31" s="12">
        <f t="shared" si="14"/>
        <v>0.05143622869604769</v>
      </c>
      <c r="J31" s="43">
        <f t="shared" si="15"/>
        <v>-0.16407864998740251</v>
      </c>
      <c r="K31" s="44">
        <f t="shared" si="16"/>
        <v>-0.031789337587269983</v>
      </c>
      <c r="L31" s="40">
        <f t="shared" si="17"/>
        <v>0.02793236536592596</v>
      </c>
      <c r="M31" s="34">
        <f t="shared" si="18"/>
        <v>165.73451516749222</v>
      </c>
      <c r="N31" s="12">
        <f t="shared" si="19"/>
        <v>-1147.051436228696</v>
      </c>
      <c r="O31" s="43">
        <f t="shared" si="20"/>
        <v>268.16407864998735</v>
      </c>
      <c r="P31" s="44">
        <f t="shared" si="21"/>
        <v>-1855.9682106624127</v>
      </c>
      <c r="Q31" s="41">
        <f t="shared" si="22"/>
        <v>3516529.9720676346</v>
      </c>
      <c r="R31" s="40">
        <f t="shared" si="23"/>
        <v>3516530</v>
      </c>
    </row>
    <row r="32" spans="2:17" ht="15">
      <c r="B32" s="10"/>
      <c r="C32" s="11"/>
      <c r="D32" s="10"/>
      <c r="E32" s="12"/>
      <c r="F32" s="11"/>
      <c r="G32" s="12"/>
      <c r="I32" s="12"/>
      <c r="K32" s="11"/>
      <c r="L32" s="11"/>
      <c r="M32" s="34"/>
      <c r="N32" s="12"/>
      <c r="P32" s="11"/>
      <c r="Q32" s="35"/>
    </row>
  </sheetData>
  <sheetProtection password="DD35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H31" sqref="H31"/>
    </sheetView>
  </sheetViews>
  <sheetFormatPr defaultColWidth="9.140625" defaultRowHeight="15"/>
  <sheetData>
    <row r="1" ht="15">
      <c r="A1">
        <f>(SQRT(5)+1)/2</f>
        <v>1.618033988749895</v>
      </c>
    </row>
    <row r="4" spans="3:13" ht="15">
      <c r="C4" s="23"/>
      <c r="D4" s="23"/>
      <c r="E4" s="23"/>
      <c r="F4" s="23"/>
      <c r="G4" s="23"/>
      <c r="H4" s="23" t="s">
        <v>5</v>
      </c>
      <c r="I4" s="23"/>
      <c r="J4" s="23" t="s">
        <v>6</v>
      </c>
      <c r="K4" s="23"/>
      <c r="L4" s="23"/>
      <c r="M4" s="23"/>
    </row>
    <row r="5" spans="8:10" ht="15">
      <c r="H5" s="9">
        <f>-A1</f>
        <v>-1.618033988749895</v>
      </c>
      <c r="J5" s="9">
        <f>1/A1</f>
        <v>0.6180339887498948</v>
      </c>
    </row>
    <row r="6" spans="8:10" ht="15">
      <c r="H6" s="9">
        <v>1</v>
      </c>
      <c r="J6" s="9">
        <v>1</v>
      </c>
    </row>
    <row r="12" spans="4:10" ht="15">
      <c r="D12" t="s">
        <v>0</v>
      </c>
      <c r="E12" t="s">
        <v>1</v>
      </c>
      <c r="F12" t="s">
        <v>0</v>
      </c>
      <c r="G12" t="s">
        <v>1</v>
      </c>
      <c r="I12" t="s">
        <v>0</v>
      </c>
      <c r="J12" t="s">
        <v>1</v>
      </c>
    </row>
    <row r="13" spans="4:10" ht="15">
      <c r="D13" s="17">
        <f>'Komplex sjtért'!B15</f>
        <v>162</v>
      </c>
      <c r="E13" s="18">
        <f>'Komplex sjtért'!C15</f>
        <v>31</v>
      </c>
      <c r="F13" s="5">
        <f>D14</f>
        <v>-100</v>
      </c>
      <c r="G13" s="7">
        <f>E14</f>
        <v>-20</v>
      </c>
      <c r="H13" s="8" t="s">
        <v>4</v>
      </c>
      <c r="I13" s="5">
        <f>D13*H5+F13*H6</f>
        <v>-362.12150617748296</v>
      </c>
      <c r="J13" s="7">
        <f>E13*H5+G13*H6</f>
        <v>-70.15905365124675</v>
      </c>
    </row>
    <row r="14" spans="4:10" ht="15">
      <c r="D14" s="19">
        <f>'Komplex sjtért'!B16</f>
        <v>-100</v>
      </c>
      <c r="E14" s="20">
        <f>'Komplex sjtért'!C16</f>
        <v>-20</v>
      </c>
      <c r="F14" s="3">
        <f>D13+F13</f>
        <v>62</v>
      </c>
      <c r="G14" s="4">
        <f>E13+G13</f>
        <v>11</v>
      </c>
      <c r="I14" s="5">
        <f>D14*H5+F14*H6</f>
        <v>223.80339887498948</v>
      </c>
      <c r="J14" s="7">
        <f>E14*H5+G14*H6</f>
        <v>43.3606797749979</v>
      </c>
    </row>
    <row r="16" spans="6:13" ht="15">
      <c r="F16" t="s">
        <v>7</v>
      </c>
      <c r="H16" s="8" t="s">
        <v>4</v>
      </c>
      <c r="I16">
        <f>I13/H5</f>
        <v>223.80339887498948</v>
      </c>
      <c r="J16">
        <f>I14/H6</f>
        <v>223.80339887498948</v>
      </c>
      <c r="L16">
        <f>I16</f>
        <v>223.80339887498948</v>
      </c>
      <c r="M16">
        <f>I17</f>
        <v>43.360679774997905</v>
      </c>
    </row>
    <row r="17" spans="6:10" ht="15">
      <c r="F17" t="s">
        <v>8</v>
      </c>
      <c r="H17" s="8" t="s">
        <v>4</v>
      </c>
      <c r="I17">
        <f>J13/H5</f>
        <v>43.360679774997905</v>
      </c>
      <c r="J17">
        <f>J14/H6</f>
        <v>43.3606797749979</v>
      </c>
    </row>
    <row r="18" spans="3:11" ht="15">
      <c r="C18" s="2"/>
      <c r="D18" s="2"/>
      <c r="E18" s="2"/>
      <c r="F18" s="2"/>
      <c r="G18" s="2"/>
      <c r="H18" s="2"/>
      <c r="I18" s="2"/>
      <c r="J18" s="2"/>
      <c r="K18" s="2"/>
    </row>
    <row r="19" spans="4:9" ht="15">
      <c r="D19" t="s">
        <v>10</v>
      </c>
      <c r="I19" t="s">
        <v>9</v>
      </c>
    </row>
    <row r="21" spans="4:10" ht="15">
      <c r="D21" t="s">
        <v>0</v>
      </c>
      <c r="E21" t="s">
        <v>1</v>
      </c>
      <c r="F21" t="s">
        <v>0</v>
      </c>
      <c r="G21" t="s">
        <v>1</v>
      </c>
      <c r="I21" t="s">
        <v>0</v>
      </c>
      <c r="J21" t="s">
        <v>1</v>
      </c>
    </row>
    <row r="22" spans="4:10" ht="15">
      <c r="D22" s="5">
        <f>D13-I16</f>
        <v>-61.80339887498948</v>
      </c>
      <c r="E22" s="6">
        <f>E13-I17</f>
        <v>-12.360679774997905</v>
      </c>
      <c r="F22" s="5">
        <f>D23</f>
        <v>-100</v>
      </c>
      <c r="G22" s="7">
        <f>E23</f>
        <v>-20</v>
      </c>
      <c r="I22" s="5">
        <f>D22*F23-E22*G23-F22*D23+E23*G22</f>
        <v>0</v>
      </c>
      <c r="J22" s="7">
        <f>D22*G23+E22*F23-F22*E23-D23*G22</f>
        <v>1.8189894035458565E-12</v>
      </c>
    </row>
    <row r="23" spans="4:7" ht="15">
      <c r="D23" s="5">
        <f>D14</f>
        <v>-100</v>
      </c>
      <c r="E23" s="6">
        <f>E14</f>
        <v>-20</v>
      </c>
      <c r="F23" s="3">
        <f>D22+F22</f>
        <v>-161.80339887498948</v>
      </c>
      <c r="G23" s="4">
        <f>E22+G22</f>
        <v>-32.360679774997905</v>
      </c>
    </row>
    <row r="24" spans="3:11" ht="15">
      <c r="C24" s="21"/>
      <c r="D24" s="21"/>
      <c r="E24" s="21"/>
      <c r="F24" s="21"/>
      <c r="G24" s="21"/>
      <c r="H24" s="21"/>
      <c r="I24" s="21"/>
      <c r="J24" s="21"/>
      <c r="K24" s="21"/>
    </row>
    <row r="26" spans="4:10" ht="15">
      <c r="D26" t="s">
        <v>0</v>
      </c>
      <c r="E26" t="s">
        <v>1</v>
      </c>
      <c r="F26" t="s">
        <v>0</v>
      </c>
      <c r="G26" t="s">
        <v>1</v>
      </c>
      <c r="I26" t="s">
        <v>0</v>
      </c>
      <c r="J26" t="s">
        <v>1</v>
      </c>
    </row>
    <row r="27" spans="4:10" ht="15">
      <c r="D27" s="24">
        <f>D13</f>
        <v>162</v>
      </c>
      <c r="E27" s="25">
        <f>E13</f>
        <v>31</v>
      </c>
      <c r="F27" s="5">
        <f>D28</f>
        <v>-100</v>
      </c>
      <c r="G27" s="7">
        <f>E28</f>
        <v>-20</v>
      </c>
      <c r="H27" s="8" t="s">
        <v>4</v>
      </c>
      <c r="I27" s="5">
        <f>D27*J5+F27*J6</f>
        <v>0.12150617748295645</v>
      </c>
      <c r="J27" s="7">
        <f>E27*J5+G27*J6</f>
        <v>-0.8409463487532598</v>
      </c>
    </row>
    <row r="28" spans="4:10" ht="15">
      <c r="D28" s="26">
        <f>D14</f>
        <v>-100</v>
      </c>
      <c r="E28" s="27">
        <f>E14</f>
        <v>-20</v>
      </c>
      <c r="F28" s="3">
        <f>D27+F27</f>
        <v>62</v>
      </c>
      <c r="G28" s="4">
        <f>E27+G27</f>
        <v>11</v>
      </c>
      <c r="I28" s="5">
        <f>D28*J5+F28*J6</f>
        <v>0.19660112501052396</v>
      </c>
      <c r="J28" s="7">
        <f>E28*J5+G28*J6</f>
        <v>-1.3606797749978963</v>
      </c>
    </row>
    <row r="30" spans="6:13" ht="15">
      <c r="F30" t="s">
        <v>27</v>
      </c>
      <c r="H30" s="8" t="s">
        <v>4</v>
      </c>
      <c r="I30">
        <f>I27/J5</f>
        <v>0.1966011250105007</v>
      </c>
      <c r="J30">
        <f>I28/J6</f>
        <v>0.19660112501052396</v>
      </c>
      <c r="L30">
        <f>I30</f>
        <v>0.1966011250105007</v>
      </c>
      <c r="M30">
        <f>I31</f>
        <v>-1.3606797749978972</v>
      </c>
    </row>
    <row r="31" spans="6:10" ht="15">
      <c r="F31" t="s">
        <v>28</v>
      </c>
      <c r="H31" s="8" t="s">
        <v>4</v>
      </c>
      <c r="I31">
        <f>J27/J5</f>
        <v>-1.3606797749978972</v>
      </c>
      <c r="J31">
        <f>J28/J6</f>
        <v>-1.3606797749978963</v>
      </c>
    </row>
  </sheetData>
  <sheetProtection password="DD35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G30" sqref="G30"/>
    </sheetView>
  </sheetViews>
  <sheetFormatPr defaultColWidth="9.140625" defaultRowHeight="15"/>
  <cols>
    <col min="1" max="2" width="14.7109375" style="90" customWidth="1"/>
    <col min="3" max="3" width="15.28125" style="90" customWidth="1"/>
    <col min="4" max="4" width="14.00390625" style="90" customWidth="1"/>
    <col min="5" max="5" width="15.00390625" style="90" customWidth="1"/>
    <col min="6" max="6" width="18.7109375" style="90" customWidth="1"/>
    <col min="7" max="7" width="17.421875" style="90" customWidth="1"/>
    <col min="8" max="8" width="16.8515625" style="90" customWidth="1"/>
    <col min="9" max="9" width="18.00390625" style="90" customWidth="1"/>
    <col min="10" max="10" width="17.57421875" style="90" customWidth="1"/>
    <col min="11" max="11" width="16.28125" style="90" customWidth="1"/>
    <col min="12" max="12" width="17.7109375" style="90" customWidth="1"/>
    <col min="13" max="13" width="14.421875" style="90" customWidth="1"/>
    <col min="14" max="16384" width="9.140625" style="90" customWidth="1"/>
  </cols>
  <sheetData>
    <row r="1" spans="1:14" ht="15">
      <c r="A1" s="88">
        <f>(SQRT(5)+1)/2</f>
        <v>1.618033988749895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5">
      <c r="A2" s="88">
        <f>LN(A1)</f>
        <v>0.48121182505960347</v>
      </c>
      <c r="B2" s="88"/>
      <c r="C2" s="91" t="s">
        <v>29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15">
      <c r="A3" s="88"/>
      <c r="B3" s="88"/>
      <c r="C3" s="88"/>
      <c r="D3" s="88"/>
      <c r="E3" s="92">
        <f>-1/SQRT(5)</f>
        <v>-0.4472135954999579</v>
      </c>
      <c r="F3" s="93">
        <v>0</v>
      </c>
      <c r="G3" s="94">
        <f>E4</f>
        <v>0.8944271909999159</v>
      </c>
      <c r="H3" s="95">
        <f>F4</f>
        <v>0</v>
      </c>
      <c r="I3" s="88"/>
      <c r="J3" s="88"/>
      <c r="K3" s="88"/>
      <c r="L3" s="88"/>
      <c r="M3" s="88"/>
      <c r="N3" s="89"/>
    </row>
    <row r="4" spans="1:14" ht="15">
      <c r="A4" s="88"/>
      <c r="B4" s="88"/>
      <c r="C4" s="88"/>
      <c r="D4" s="88"/>
      <c r="E4" s="92">
        <f>2/SQRT(5)</f>
        <v>0.8944271909999159</v>
      </c>
      <c r="F4" s="93">
        <v>0</v>
      </c>
      <c r="G4" s="94">
        <f>E3+E4</f>
        <v>0.4472135954999579</v>
      </c>
      <c r="H4" s="95">
        <f>F3+F4</f>
        <v>0</v>
      </c>
      <c r="I4" s="88"/>
      <c r="J4" s="88"/>
      <c r="K4" s="88"/>
      <c r="L4" s="88"/>
      <c r="M4" s="88"/>
      <c r="N4" s="89"/>
    </row>
    <row r="5" spans="1:14" ht="15">
      <c r="A5" s="96">
        <f>A23</f>
        <v>162</v>
      </c>
      <c r="B5" s="97">
        <f>B23</f>
        <v>27</v>
      </c>
      <c r="C5" s="98">
        <f>A6</f>
        <v>-100</v>
      </c>
      <c r="D5" s="99">
        <f>B6</f>
        <v>-20</v>
      </c>
      <c r="E5" s="100">
        <f>A5*E3-B5*F3+C5*E4-D5*F4</f>
        <v>-161.89132157098476</v>
      </c>
      <c r="F5" s="101">
        <f>B5*E3+A5*F3+C5*F4+D5*E4</f>
        <v>-29.963310898497184</v>
      </c>
      <c r="G5" s="100">
        <f>A5*G3-B5*H3+C5*G4-D5*H4</f>
        <v>100.17584539199056</v>
      </c>
      <c r="H5" s="102">
        <f>A5*H3+B5*G3+C5*H4+D5*G4</f>
        <v>15.205262246998569</v>
      </c>
      <c r="I5" s="88"/>
      <c r="J5" s="88"/>
      <c r="K5" s="88"/>
      <c r="L5" s="88"/>
      <c r="M5" s="88"/>
      <c r="N5" s="89"/>
    </row>
    <row r="6" spans="1:14" ht="15">
      <c r="A6" s="96">
        <f>A24</f>
        <v>-100</v>
      </c>
      <c r="B6" s="97">
        <f>B24</f>
        <v>-20</v>
      </c>
      <c r="C6" s="98">
        <f>A5+A6</f>
        <v>62</v>
      </c>
      <c r="D6" s="99">
        <f>B5+B6</f>
        <v>7</v>
      </c>
      <c r="E6" s="100">
        <f>A6*E3-B6*F3+C6*E4-D6*F4</f>
        <v>100.17584539199058</v>
      </c>
      <c r="F6" s="101">
        <f>B6*E3+A6*F3+C6*F4+D6*E4</f>
        <v>15.20526224699857</v>
      </c>
      <c r="G6" s="100">
        <f>A6*G3-B6*H3+C6*G4-D6*H4</f>
        <v>-61.7154761789942</v>
      </c>
      <c r="H6" s="102">
        <f>A6*H3+B6*G3+C6*H4+D6*G4</f>
        <v>-14.758048651498612</v>
      </c>
      <c r="I6" s="88"/>
      <c r="J6" s="88"/>
      <c r="K6" s="88"/>
      <c r="L6" s="88"/>
      <c r="M6" s="88"/>
      <c r="N6" s="89"/>
    </row>
    <row r="7" spans="1:14" ht="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1:14" ht="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</row>
    <row r="9" spans="1:14" ht="15">
      <c r="A9" s="88" t="s">
        <v>30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ht="15">
      <c r="A10" s="88" t="s">
        <v>31</v>
      </c>
      <c r="B10" s="88" t="s">
        <v>32</v>
      </c>
      <c r="C10" s="88" t="s">
        <v>33</v>
      </c>
      <c r="D10" s="88" t="s">
        <v>34</v>
      </c>
      <c r="E10" s="88" t="s">
        <v>35</v>
      </c>
      <c r="F10" s="88"/>
      <c r="G10" s="88"/>
      <c r="H10" s="88"/>
      <c r="I10" s="88"/>
      <c r="J10" s="88"/>
      <c r="K10" s="88"/>
      <c r="L10" s="88"/>
      <c r="M10" s="88"/>
      <c r="N10" s="89"/>
    </row>
    <row r="11" spans="1:14" ht="15">
      <c r="A11" s="103">
        <f>C6*A5-C5*A6-B5*D6+D5*B6</f>
        <v>255</v>
      </c>
      <c r="B11" s="103">
        <f>C6*B5+A5*D6-2*A6*D5</f>
        <v>-1192</v>
      </c>
      <c r="C11" s="103">
        <f>ATAN(B11/A11)</f>
        <v>-1.3600467739975</v>
      </c>
      <c r="D11" s="103">
        <f>K23</f>
        <v>-4.892502218789859</v>
      </c>
      <c r="E11" s="103">
        <f>L23</f>
        <v>1.4893267023651915</v>
      </c>
      <c r="F11" s="88"/>
      <c r="G11" s="88"/>
      <c r="H11" s="88"/>
      <c r="I11" s="88"/>
      <c r="J11" s="88"/>
      <c r="K11" s="88"/>
      <c r="L11" s="88"/>
      <c r="M11" s="88"/>
      <c r="N11" s="89"/>
    </row>
    <row r="12" spans="1:14" ht="15">
      <c r="A12" s="88" t="s">
        <v>36</v>
      </c>
      <c r="B12" s="103">
        <f>SQRT(A11*A11+B11*B11)</f>
        <v>1218.9704672386447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1:14" ht="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1:14" ht="15">
      <c r="A14" s="104" t="s">
        <v>37</v>
      </c>
      <c r="B14" s="105"/>
      <c r="C14" s="104" t="s">
        <v>38</v>
      </c>
      <c r="D14" s="105"/>
      <c r="E14" s="104" t="s">
        <v>39</v>
      </c>
      <c r="F14" s="105"/>
      <c r="G14" s="104" t="s">
        <v>40</v>
      </c>
      <c r="H14" s="105"/>
      <c r="I14" s="104" t="s">
        <v>41</v>
      </c>
      <c r="J14" s="105"/>
      <c r="K14" s="104" t="s">
        <v>42</v>
      </c>
      <c r="L14" s="105"/>
      <c r="M14" s="106" t="s">
        <v>43</v>
      </c>
      <c r="N14" s="89"/>
    </row>
    <row r="15" spans="1:14" ht="15">
      <c r="A15" s="107" t="s">
        <v>0</v>
      </c>
      <c r="B15" s="107" t="s">
        <v>1</v>
      </c>
      <c r="C15" s="107" t="s">
        <v>0</v>
      </c>
      <c r="D15" s="107" t="s">
        <v>1</v>
      </c>
      <c r="E15" s="107" t="s">
        <v>0</v>
      </c>
      <c r="F15" s="107" t="s">
        <v>1</v>
      </c>
      <c r="G15" s="107" t="s">
        <v>0</v>
      </c>
      <c r="H15" s="107" t="s">
        <v>1</v>
      </c>
      <c r="I15" s="107" t="s">
        <v>0</v>
      </c>
      <c r="J15" s="107" t="s">
        <v>1</v>
      </c>
      <c r="K15" s="107" t="s">
        <v>0</v>
      </c>
      <c r="L15" s="107" t="s">
        <v>44</v>
      </c>
      <c r="M15" s="88"/>
      <c r="N15" s="89"/>
    </row>
    <row r="16" spans="1:14" ht="15">
      <c r="A16" s="88">
        <f aca="true" t="shared" si="0" ref="A16:D21">A18-A17</f>
        <v>-4702</v>
      </c>
      <c r="B16" s="88">
        <f t="shared" si="0"/>
        <v>-827</v>
      </c>
      <c r="C16" s="88">
        <f t="shared" si="0"/>
        <v>4702.003743086556</v>
      </c>
      <c r="D16" s="88">
        <f t="shared" si="0"/>
        <v>826.8979380794221</v>
      </c>
      <c r="E16" s="88">
        <f aca="true" t="shared" si="1" ref="E16:E34">(A16*C16+B16*D16)/(C16*C16+D16*D16)</f>
        <v>-1.000002930547039</v>
      </c>
      <c r="F16" s="88">
        <f aca="true" t="shared" si="2" ref="F16:F34">(B16*C16-A16*D16)/(C16*C16+D16*D16)</f>
        <v>-2.11906801265869E-05</v>
      </c>
      <c r="G16" s="88">
        <f>IF((E16*E16+F16*F16)&gt;1,E16/(E16*E16+F16*F16),E16)</f>
        <v>-0.9999970690125081</v>
      </c>
      <c r="H16" s="88">
        <f>IF((E16*E16+F16*F16)&gt;1,F16/(E16*E16+F16*F16),F16)</f>
        <v>-2.1190555917047607E-05</v>
      </c>
      <c r="I16" s="88">
        <f>(1-G16*G16-H16*H16)/((1-G16)*(1-G16)+H16*H16)</f>
        <v>1.4653836332343285E-06</v>
      </c>
      <c r="J16" s="88">
        <f>2*H16/((1-G16)*(1-G16)+H16*H16)</f>
        <v>-1.0595309012029805E-05</v>
      </c>
      <c r="K16" s="88">
        <f>LN(I16*I16+J16*J16)/(4*$A$2)</f>
        <v>-11.892502218790217</v>
      </c>
      <c r="L16" s="88">
        <f>ATAN(J16/I16)/(2*$A$2)</f>
        <v>-1.4893267023503682</v>
      </c>
      <c r="M16" s="88">
        <f>A16*A16+B16*B16</f>
        <v>22792733</v>
      </c>
      <c r="N16" s="89"/>
    </row>
    <row r="17" spans="1:14" ht="15">
      <c r="A17" s="88">
        <f t="shared" si="0"/>
        <v>2906</v>
      </c>
      <c r="B17" s="88">
        <f t="shared" si="0"/>
        <v>511</v>
      </c>
      <c r="C17" s="88">
        <f t="shared" si="0"/>
        <v>-2905.9939435587257</v>
      </c>
      <c r="D17" s="88">
        <f t="shared" si="0"/>
        <v>-511.1651396564519</v>
      </c>
      <c r="E17" s="88">
        <f t="shared" si="1"/>
        <v>-0.9999923256422473</v>
      </c>
      <c r="F17" s="88">
        <f t="shared" si="2"/>
        <v>5.547733251713073E-05</v>
      </c>
      <c r="G17" s="88">
        <f aca="true" t="shared" si="3" ref="G17:G34">IF((E17*E17+F17*F17)&gt;1,E17/(E17*E17+F17*F17),E17)</f>
        <v>-0.9999923256422473</v>
      </c>
      <c r="H17" s="88">
        <f aca="true" t="shared" si="4" ref="H17:H34">IF((E17*E17+F17*F17)&gt;1,F17/(E17*E17+F17*F17),F17)</f>
        <v>5.547733251713073E-05</v>
      </c>
      <c r="I17" s="88">
        <f aca="true" t="shared" si="5" ref="I17:I34">(1-G17*G17-H17*H17)/((1-G17)*(1-G17)+H17*H17)</f>
        <v>3.8364241578977275E-06</v>
      </c>
      <c r="J17" s="88">
        <f aca="true" t="shared" si="6" ref="J17:J34">2*H17/((1-G17)*(1-G17)+H17*H17)</f>
        <v>2.7738879114895705E-05</v>
      </c>
      <c r="K17" s="88">
        <f aca="true" t="shared" si="7" ref="K17:K34">LN(I17*I17+J17*J17)/(4*$A$2)</f>
        <v>-10.892502218789152</v>
      </c>
      <c r="L17" s="88">
        <f aca="true" t="shared" si="8" ref="L17:L34">ATAN(J17/I17)/(2*$A$2)</f>
        <v>1.4893267023680292</v>
      </c>
      <c r="M17" s="88">
        <f aca="true" t="shared" si="9" ref="M17:M34">A17*A17+B17*B17</f>
        <v>8705957</v>
      </c>
      <c r="N17" s="89"/>
    </row>
    <row r="18" spans="1:14" ht="15">
      <c r="A18" s="88">
        <f t="shared" si="0"/>
        <v>-1796</v>
      </c>
      <c r="B18" s="88">
        <f t="shared" si="0"/>
        <v>-316</v>
      </c>
      <c r="C18" s="88">
        <f t="shared" si="0"/>
        <v>1796.0097995278306</v>
      </c>
      <c r="D18" s="88">
        <f t="shared" si="0"/>
        <v>315.7327984229703</v>
      </c>
      <c r="E18" s="88">
        <f t="shared" si="1"/>
        <v>-1.0000200774314107</v>
      </c>
      <c r="F18" s="88">
        <f t="shared" si="2"/>
        <v>-0.00014524557354520193</v>
      </c>
      <c r="G18" s="88">
        <f t="shared" si="3"/>
        <v>-0.9999799018766787</v>
      </c>
      <c r="H18" s="88">
        <f t="shared" si="4"/>
        <v>-0.00014523973834086829</v>
      </c>
      <c r="I18" s="88">
        <f t="shared" si="5"/>
        <v>1.0043888840930942E-05</v>
      </c>
      <c r="J18" s="88">
        <f t="shared" si="6"/>
        <v>-7.262132833253401E-05</v>
      </c>
      <c r="K18" s="88">
        <f t="shared" si="7"/>
        <v>-9.892502218789812</v>
      </c>
      <c r="L18" s="88">
        <f t="shared" si="8"/>
        <v>-1.4893267023637387</v>
      </c>
      <c r="M18" s="88">
        <f t="shared" si="9"/>
        <v>3325472</v>
      </c>
      <c r="N18" s="89"/>
    </row>
    <row r="19" spans="1:14" ht="15">
      <c r="A19" s="88">
        <f t="shared" si="0"/>
        <v>1110</v>
      </c>
      <c r="B19" s="88">
        <f t="shared" si="0"/>
        <v>195</v>
      </c>
      <c r="C19" s="88">
        <f t="shared" si="0"/>
        <v>-1109.9841440308953</v>
      </c>
      <c r="D19" s="88">
        <f t="shared" si="0"/>
        <v>-195.43234123348162</v>
      </c>
      <c r="E19" s="88">
        <f t="shared" si="1"/>
        <v>-0.999947338608708</v>
      </c>
      <c r="F19" s="88">
        <f t="shared" si="2"/>
        <v>0.0003802302012677022</v>
      </c>
      <c r="G19" s="88">
        <f t="shared" si="3"/>
        <v>-0.999947338608708</v>
      </c>
      <c r="H19" s="88">
        <f t="shared" si="4"/>
        <v>0.0003802302012677022</v>
      </c>
      <c r="I19" s="88">
        <f t="shared" si="5"/>
        <v>2.629524236439891E-05</v>
      </c>
      <c r="J19" s="88">
        <f t="shared" si="6"/>
        <v>0.0001901251058827971</v>
      </c>
      <c r="K19" s="88">
        <f t="shared" si="7"/>
        <v>-8.89250221878979</v>
      </c>
      <c r="L19" s="88">
        <f t="shared" si="8"/>
        <v>1.4893267023658407</v>
      </c>
      <c r="M19" s="88">
        <f t="shared" si="9"/>
        <v>1270125</v>
      </c>
      <c r="N19" s="89"/>
    </row>
    <row r="20" spans="1:14" ht="15">
      <c r="A20" s="88">
        <f t="shared" si="0"/>
        <v>-686</v>
      </c>
      <c r="B20" s="88">
        <f t="shared" si="0"/>
        <v>-121</v>
      </c>
      <c r="C20" s="88">
        <f t="shared" si="0"/>
        <v>686.0256554969353</v>
      </c>
      <c r="D20" s="88">
        <f t="shared" si="0"/>
        <v>120.3004571894887</v>
      </c>
      <c r="E20" s="88">
        <f t="shared" si="1"/>
        <v>-1.0001371975352595</v>
      </c>
      <c r="F20" s="88">
        <f t="shared" si="2"/>
        <v>-0.0009956448112710152</v>
      </c>
      <c r="G20" s="88">
        <f t="shared" si="3"/>
        <v>-0.9998618303856173</v>
      </c>
      <c r="H20" s="88">
        <f t="shared" si="4"/>
        <v>-0.000995370681007276</v>
      </c>
      <c r="I20" s="88">
        <f t="shared" si="5"/>
        <v>6.88418382528259E-05</v>
      </c>
      <c r="J20" s="88">
        <f t="shared" si="6"/>
        <v>-0.0004977539893157303</v>
      </c>
      <c r="K20" s="88">
        <f t="shared" si="7"/>
        <v>-7.892502218789887</v>
      </c>
      <c r="L20" s="88">
        <f t="shared" si="8"/>
        <v>-1.4893267023649641</v>
      </c>
      <c r="M20" s="88">
        <f t="shared" si="9"/>
        <v>485237</v>
      </c>
      <c r="N20" s="89"/>
    </row>
    <row r="21" spans="1:14" ht="15">
      <c r="A21" s="88">
        <f t="shared" si="0"/>
        <v>424</v>
      </c>
      <c r="B21" s="88">
        <f t="shared" si="0"/>
        <v>74</v>
      </c>
      <c r="C21" s="88">
        <f t="shared" si="0"/>
        <v>-423.95848853396006</v>
      </c>
      <c r="D21" s="88">
        <f t="shared" si="0"/>
        <v>-75.13188404399294</v>
      </c>
      <c r="E21" s="88">
        <f t="shared" si="1"/>
        <v>-0.9996362099195116</v>
      </c>
      <c r="F21" s="88">
        <f t="shared" si="2"/>
        <v>0.002605330096512137</v>
      </c>
      <c r="G21" s="88">
        <f t="shared" si="3"/>
        <v>-0.9996362099195116</v>
      </c>
      <c r="H21" s="88">
        <f t="shared" si="4"/>
        <v>0.002605330096512137</v>
      </c>
      <c r="I21" s="88">
        <f t="shared" si="5"/>
        <v>0.00018023027239351595</v>
      </c>
      <c r="J21" s="88">
        <f t="shared" si="6"/>
        <v>0.001303136862064522</v>
      </c>
      <c r="K21" s="88">
        <f t="shared" si="7"/>
        <v>-6.892502218789862</v>
      </c>
      <c r="L21" s="88">
        <f t="shared" si="8"/>
        <v>1.4893267023652905</v>
      </c>
      <c r="M21" s="88">
        <f t="shared" si="9"/>
        <v>185252</v>
      </c>
      <c r="N21" s="89"/>
    </row>
    <row r="22" spans="1:14" ht="15">
      <c r="A22" s="88">
        <f>A24-A23</f>
        <v>-262</v>
      </c>
      <c r="B22" s="88">
        <f>B24-B23</f>
        <v>-47</v>
      </c>
      <c r="C22" s="88">
        <f>C24-C23</f>
        <v>262.0671669629753</v>
      </c>
      <c r="D22" s="88">
        <f>D24-D23</f>
        <v>45.168573145495756</v>
      </c>
      <c r="E22" s="88">
        <f t="shared" si="1"/>
        <v>-1.0009208319377407</v>
      </c>
      <c r="F22" s="88">
        <f t="shared" si="2"/>
        <v>-0.006829677332386182</v>
      </c>
      <c r="G22" s="88">
        <f t="shared" si="3"/>
        <v>-0.9990335015050573</v>
      </c>
      <c r="H22" s="88">
        <f t="shared" si="4"/>
        <v>-0.0068167993329845055</v>
      </c>
      <c r="I22" s="88">
        <f t="shared" si="5"/>
        <v>0.0004718489789283329</v>
      </c>
      <c r="J22" s="88">
        <f t="shared" si="6"/>
        <v>-0.0034116565968777385</v>
      </c>
      <c r="K22" s="88">
        <f t="shared" si="7"/>
        <v>-5.892502218789862</v>
      </c>
      <c r="L22" s="88">
        <f t="shared" si="8"/>
        <v>-1.4893267023651515</v>
      </c>
      <c r="M22" s="88">
        <f t="shared" si="9"/>
        <v>70853</v>
      </c>
      <c r="N22" s="89"/>
    </row>
    <row r="23" spans="1:14" ht="15">
      <c r="A23" s="108">
        <v>162</v>
      </c>
      <c r="B23" s="108">
        <v>27</v>
      </c>
      <c r="C23" s="103">
        <f>E5</f>
        <v>-161.89132157098476</v>
      </c>
      <c r="D23" s="103">
        <f>F5</f>
        <v>-29.963310898497184</v>
      </c>
      <c r="E23" s="88">
        <f t="shared" si="1"/>
        <v>-0.9973734621368582</v>
      </c>
      <c r="F23" s="88">
        <f t="shared" si="2"/>
        <v>0.017818194946616538</v>
      </c>
      <c r="G23" s="88">
        <f t="shared" si="3"/>
        <v>-0.9973734621368582</v>
      </c>
      <c r="H23" s="88">
        <f t="shared" si="4"/>
        <v>0.017818194946616538</v>
      </c>
      <c r="I23" s="88">
        <f t="shared" si="5"/>
        <v>0.0012353166643909713</v>
      </c>
      <c r="J23" s="88">
        <f t="shared" si="6"/>
        <v>0.0089318329285688</v>
      </c>
      <c r="K23" s="88">
        <f t="shared" si="7"/>
        <v>-4.892502218789859</v>
      </c>
      <c r="L23" s="88">
        <f t="shared" si="8"/>
        <v>1.4893267023651915</v>
      </c>
      <c r="M23" s="88">
        <f t="shared" si="9"/>
        <v>26973</v>
      </c>
      <c r="N23" s="89"/>
    </row>
    <row r="24" spans="1:14" ht="15">
      <c r="A24" s="108">
        <v>-100</v>
      </c>
      <c r="B24" s="108">
        <v>-20</v>
      </c>
      <c r="C24" s="103">
        <f>E6</f>
        <v>100.17584539199058</v>
      </c>
      <c r="D24" s="103">
        <f>F6</f>
        <v>15.20526224699857</v>
      </c>
      <c r="E24" s="88">
        <f t="shared" si="1"/>
        <v>-1.005385508468307</v>
      </c>
      <c r="F24" s="88">
        <f t="shared" si="2"/>
        <v>-0.04704576902711316</v>
      </c>
      <c r="G24" s="88">
        <f t="shared" si="3"/>
        <v>-0.9924701715518298</v>
      </c>
      <c r="H24" s="88">
        <f t="shared" si="4"/>
        <v>-0.04644141184038026</v>
      </c>
      <c r="I24" s="88">
        <f t="shared" si="5"/>
        <v>0.0032341010142448385</v>
      </c>
      <c r="J24" s="88">
        <f t="shared" si="6"/>
        <v>-0.02338384218882858</v>
      </c>
      <c r="K24" s="88">
        <f t="shared" si="7"/>
        <v>-3.89250221878986</v>
      </c>
      <c r="L24" s="88">
        <f t="shared" si="8"/>
        <v>-1.4893267023651855</v>
      </c>
      <c r="M24" s="88">
        <f t="shared" si="9"/>
        <v>10400</v>
      </c>
      <c r="N24" s="89"/>
    </row>
    <row r="25" spans="1:14" ht="15">
      <c r="A25" s="88">
        <f>A23+A24</f>
        <v>62</v>
      </c>
      <c r="B25" s="88">
        <f>B23+B24</f>
        <v>7</v>
      </c>
      <c r="C25" s="88">
        <f>C23+C24</f>
        <v>-61.71547617899418</v>
      </c>
      <c r="D25" s="88">
        <f>D23+D24</f>
        <v>-14.758048651498614</v>
      </c>
      <c r="E25" s="88">
        <f t="shared" si="1"/>
        <v>-0.97592655432825</v>
      </c>
      <c r="F25" s="88">
        <f t="shared" si="2"/>
        <v>0.1199500032632879</v>
      </c>
      <c r="G25" s="88">
        <f t="shared" si="3"/>
        <v>-0.97592655432825</v>
      </c>
      <c r="H25" s="88">
        <f t="shared" si="4"/>
        <v>0.1199500032632879</v>
      </c>
      <c r="I25" s="88">
        <f t="shared" si="5"/>
        <v>0.008466986378343403</v>
      </c>
      <c r="J25" s="88">
        <f t="shared" si="6"/>
        <v>0.06121969363791699</v>
      </c>
      <c r="K25" s="88">
        <f t="shared" si="7"/>
        <v>-2.8925022187898595</v>
      </c>
      <c r="L25" s="88">
        <f t="shared" si="8"/>
        <v>1.489326702365187</v>
      </c>
      <c r="M25" s="88">
        <f t="shared" si="9"/>
        <v>3893</v>
      </c>
      <c r="N25" s="89"/>
    </row>
    <row r="26" spans="1:14" ht="15">
      <c r="A26" s="88">
        <f aca="true" t="shared" si="10" ref="A26:D34">A24+A25</f>
        <v>-38</v>
      </c>
      <c r="B26" s="88">
        <f t="shared" si="10"/>
        <v>-13</v>
      </c>
      <c r="C26" s="88">
        <f t="shared" si="10"/>
        <v>38.4603692129964</v>
      </c>
      <c r="D26" s="88">
        <f t="shared" si="10"/>
        <v>0.44721359549995654</v>
      </c>
      <c r="E26" s="88">
        <f t="shared" si="1"/>
        <v>-0.9918262855450597</v>
      </c>
      <c r="F26" s="88">
        <f t="shared" si="2"/>
        <v>-0.3264774118831651</v>
      </c>
      <c r="G26" s="88">
        <f t="shared" si="3"/>
        <v>-0.9096762596623451</v>
      </c>
      <c r="H26" s="88">
        <f t="shared" si="4"/>
        <v>-0.29943625737132973</v>
      </c>
      <c r="I26" s="88">
        <f t="shared" si="5"/>
        <v>0.022166858120785612</v>
      </c>
      <c r="J26" s="88">
        <f t="shared" si="6"/>
        <v>-0.16027523872492228</v>
      </c>
      <c r="K26" s="88">
        <f t="shared" si="7"/>
        <v>-1.8925022187898601</v>
      </c>
      <c r="L26" s="88">
        <f t="shared" si="8"/>
        <v>-1.4893267023651857</v>
      </c>
      <c r="M26" s="88">
        <f t="shared" si="9"/>
        <v>1613</v>
      </c>
      <c r="N26" s="89"/>
    </row>
    <row r="27" spans="1:14" ht="15">
      <c r="A27" s="88">
        <f t="shared" si="10"/>
        <v>24</v>
      </c>
      <c r="B27" s="88">
        <f t="shared" si="10"/>
        <v>-6</v>
      </c>
      <c r="C27" s="88">
        <f t="shared" si="10"/>
        <v>-23.255106965997783</v>
      </c>
      <c r="D27" s="88">
        <f t="shared" si="10"/>
        <v>-14.310835055998657</v>
      </c>
      <c r="E27" s="88">
        <f t="shared" si="1"/>
        <v>-0.633392645987065</v>
      </c>
      <c r="F27" s="88">
        <f t="shared" si="2"/>
        <v>0.6477879333958628</v>
      </c>
      <c r="G27" s="88">
        <f t="shared" si="3"/>
        <v>-0.633392645987065</v>
      </c>
      <c r="H27" s="88">
        <f t="shared" si="4"/>
        <v>0.6477879333958628</v>
      </c>
      <c r="I27" s="88">
        <f t="shared" si="5"/>
        <v>0.0580335879840135</v>
      </c>
      <c r="J27" s="88">
        <f t="shared" si="6"/>
        <v>0.4196060225368503</v>
      </c>
      <c r="K27" s="88">
        <f t="shared" si="7"/>
        <v>-0.8925022187898591</v>
      </c>
      <c r="L27" s="88">
        <f t="shared" si="8"/>
        <v>1.4893267023651855</v>
      </c>
      <c r="M27" s="88">
        <f t="shared" si="9"/>
        <v>612</v>
      </c>
      <c r="N27" s="89"/>
    </row>
    <row r="28" spans="1:14" ht="15">
      <c r="A28" s="88">
        <f t="shared" si="10"/>
        <v>-14</v>
      </c>
      <c r="B28" s="88">
        <f t="shared" si="10"/>
        <v>-19</v>
      </c>
      <c r="C28" s="88">
        <f t="shared" si="10"/>
        <v>15.205262246998615</v>
      </c>
      <c r="D28" s="88">
        <f t="shared" si="10"/>
        <v>-13.8636214604987</v>
      </c>
      <c r="E28" s="88">
        <f t="shared" si="1"/>
        <v>0.11935554154816852</v>
      </c>
      <c r="F28" s="88">
        <f t="shared" si="2"/>
        <v>-1.140743228955961</v>
      </c>
      <c r="G28" s="88">
        <f t="shared" si="3"/>
        <v>0.09072735420376073</v>
      </c>
      <c r="H28" s="88">
        <f t="shared" si="4"/>
        <v>-0.8671286950448034</v>
      </c>
      <c r="I28" s="88">
        <f t="shared" si="5"/>
        <v>0.15193390583125396</v>
      </c>
      <c r="J28" s="88">
        <f t="shared" si="6"/>
        <v>-1.098542828885626</v>
      </c>
      <c r="K28" s="88">
        <f t="shared" si="7"/>
        <v>0.10749778121013842</v>
      </c>
      <c r="L28" s="88">
        <f t="shared" si="8"/>
        <v>-1.489326702365186</v>
      </c>
      <c r="M28" s="88">
        <f t="shared" si="9"/>
        <v>557</v>
      </c>
      <c r="N28" s="89"/>
    </row>
    <row r="29" spans="1:14" ht="15">
      <c r="A29" s="88">
        <f t="shared" si="10"/>
        <v>10</v>
      </c>
      <c r="B29" s="88">
        <f t="shared" si="10"/>
        <v>-25</v>
      </c>
      <c r="C29" s="88">
        <f t="shared" si="10"/>
        <v>-8.049844718999168</v>
      </c>
      <c r="D29" s="88">
        <f t="shared" si="10"/>
        <v>-28.174456516497358</v>
      </c>
      <c r="E29" s="88">
        <f t="shared" si="1"/>
        <v>0.72660489834899</v>
      </c>
      <c r="F29" s="88">
        <f t="shared" si="2"/>
        <v>0.5625328245282474</v>
      </c>
      <c r="G29" s="88">
        <f t="shared" si="3"/>
        <v>0.72660489834899</v>
      </c>
      <c r="H29" s="88">
        <f t="shared" si="4"/>
        <v>0.5625328245282474</v>
      </c>
      <c r="I29" s="88">
        <f t="shared" si="5"/>
        <v>0.39776812950975526</v>
      </c>
      <c r="J29" s="88">
        <f t="shared" si="6"/>
        <v>2.876022464120044</v>
      </c>
      <c r="K29" s="88">
        <f t="shared" si="7"/>
        <v>1.1074977812101439</v>
      </c>
      <c r="L29" s="88">
        <f t="shared" si="8"/>
        <v>1.4893267023651844</v>
      </c>
      <c r="M29" s="88">
        <f t="shared" si="9"/>
        <v>725</v>
      </c>
      <c r="N29" s="89"/>
    </row>
    <row r="30" spans="1:14" ht="15">
      <c r="A30" s="88">
        <f t="shared" si="10"/>
        <v>-4</v>
      </c>
      <c r="B30" s="88">
        <f t="shared" si="10"/>
        <v>-44</v>
      </c>
      <c r="C30" s="88">
        <f t="shared" si="10"/>
        <v>7.155417527999447</v>
      </c>
      <c r="D30" s="88">
        <f t="shared" si="10"/>
        <v>-42.03807797699606</v>
      </c>
      <c r="E30" s="88">
        <f t="shared" si="1"/>
        <v>1.0014593933545017</v>
      </c>
      <c r="F30" s="88">
        <f t="shared" si="2"/>
        <v>-0.2656130021667175</v>
      </c>
      <c r="G30" s="88">
        <f t="shared" si="3"/>
        <v>0.9329168856945844</v>
      </c>
      <c r="H30" s="88">
        <f t="shared" si="4"/>
        <v>-0.24743375160858602</v>
      </c>
      <c r="I30" s="88">
        <f t="shared" si="5"/>
        <v>1.0413704826979646</v>
      </c>
      <c r="J30" s="88">
        <f t="shared" si="6"/>
        <v>-7.529524563474397</v>
      </c>
      <c r="K30" s="88">
        <f t="shared" si="7"/>
        <v>2.107497781210129</v>
      </c>
      <c r="L30" s="88">
        <f t="shared" si="8"/>
        <v>-1.4893267023651884</v>
      </c>
      <c r="M30" s="88">
        <f t="shared" si="9"/>
        <v>1952</v>
      </c>
      <c r="N30" s="89"/>
    </row>
    <row r="31" spans="1:14" ht="15">
      <c r="A31" s="88">
        <f t="shared" si="10"/>
        <v>6</v>
      </c>
      <c r="B31" s="88">
        <f t="shared" si="10"/>
        <v>-69</v>
      </c>
      <c r="C31" s="88">
        <f t="shared" si="10"/>
        <v>-0.8944271909997212</v>
      </c>
      <c r="D31" s="88">
        <f t="shared" si="10"/>
        <v>-70.21253449349342</v>
      </c>
      <c r="E31" s="88">
        <f t="shared" si="1"/>
        <v>0.9814826424583307</v>
      </c>
      <c r="F31" s="88">
        <f t="shared" si="2"/>
        <v>0.0979577907637896</v>
      </c>
      <c r="G31" s="88">
        <f t="shared" si="3"/>
        <v>0.9814826424583307</v>
      </c>
      <c r="H31" s="88">
        <f t="shared" si="4"/>
        <v>0.0979577907637896</v>
      </c>
      <c r="I31" s="88">
        <f t="shared" si="5"/>
        <v>2.726343318584442</v>
      </c>
      <c r="J31" s="88">
        <f t="shared" si="6"/>
        <v>19.712551226303898</v>
      </c>
      <c r="K31" s="88">
        <f t="shared" si="7"/>
        <v>3.107497781210168</v>
      </c>
      <c r="L31" s="88">
        <f t="shared" si="8"/>
        <v>1.4893267023651786</v>
      </c>
      <c r="M31" s="88">
        <f t="shared" si="9"/>
        <v>4797</v>
      </c>
      <c r="N31" s="89"/>
    </row>
    <row r="32" spans="1:14" ht="15">
      <c r="A32" s="88">
        <f t="shared" si="10"/>
        <v>2</v>
      </c>
      <c r="B32" s="88">
        <f t="shared" si="10"/>
        <v>-113</v>
      </c>
      <c r="C32" s="88">
        <f t="shared" si="10"/>
        <v>6.2609903369997255</v>
      </c>
      <c r="D32" s="88">
        <f t="shared" si="10"/>
        <v>-112.25061247048947</v>
      </c>
      <c r="E32" s="88">
        <f t="shared" si="1"/>
        <v>1.004544613655656</v>
      </c>
      <c r="F32" s="88">
        <f t="shared" si="2"/>
        <v>-0.03821310213617653</v>
      </c>
      <c r="G32" s="88">
        <f t="shared" si="3"/>
        <v>0.9940375158411736</v>
      </c>
      <c r="H32" s="88">
        <f t="shared" si="4"/>
        <v>-0.037813409781569725</v>
      </c>
      <c r="I32" s="88">
        <f t="shared" si="5"/>
        <v>7.1376594730531675</v>
      </c>
      <c r="J32" s="88">
        <f t="shared" si="6"/>
        <v>-51.6081291154322</v>
      </c>
      <c r="K32" s="88">
        <f t="shared" si="7"/>
        <v>4.107497781210067</v>
      </c>
      <c r="L32" s="88">
        <f t="shared" si="8"/>
        <v>-1.4893267023652068</v>
      </c>
      <c r="M32" s="88">
        <f t="shared" si="9"/>
        <v>12773</v>
      </c>
      <c r="N32" s="89"/>
    </row>
    <row r="33" spans="1:14" ht="15">
      <c r="A33" s="88">
        <f t="shared" si="10"/>
        <v>8</v>
      </c>
      <c r="B33" s="88">
        <f t="shared" si="10"/>
        <v>-182</v>
      </c>
      <c r="C33" s="88">
        <f t="shared" si="10"/>
        <v>5.366563146000004</v>
      </c>
      <c r="D33" s="88">
        <f t="shared" si="10"/>
        <v>-182.4631469639829</v>
      </c>
      <c r="E33" s="88">
        <f t="shared" si="1"/>
        <v>0.9978880141593701</v>
      </c>
      <c r="F33" s="88">
        <f t="shared" si="2"/>
        <v>0.014494822671776326</v>
      </c>
      <c r="G33" s="88">
        <f t="shared" si="3"/>
        <v>0.9978880141593701</v>
      </c>
      <c r="H33" s="88">
        <f t="shared" si="4"/>
        <v>0.014494822671776326</v>
      </c>
      <c r="I33" s="88">
        <f t="shared" si="5"/>
        <v>18.68663510058901</v>
      </c>
      <c r="J33" s="88">
        <f t="shared" si="6"/>
        <v>135.11183612002796</v>
      </c>
      <c r="K33" s="88">
        <f t="shared" si="7"/>
        <v>5.107497781210332</v>
      </c>
      <c r="L33" s="88">
        <f t="shared" si="8"/>
        <v>1.4893267023651424</v>
      </c>
      <c r="M33" s="88">
        <f t="shared" si="9"/>
        <v>33188</v>
      </c>
      <c r="N33" s="89"/>
    </row>
    <row r="34" spans="1:14" ht="15">
      <c r="A34" s="88">
        <f t="shared" si="10"/>
        <v>10</v>
      </c>
      <c r="B34" s="88">
        <f t="shared" si="10"/>
        <v>-295</v>
      </c>
      <c r="C34" s="88">
        <f t="shared" si="10"/>
        <v>11.62755348299973</v>
      </c>
      <c r="D34" s="88">
        <f t="shared" si="10"/>
        <v>-294.71375943447237</v>
      </c>
      <c r="E34" s="88">
        <f t="shared" si="1"/>
        <v>1.0007521958262457</v>
      </c>
      <c r="F34" s="88">
        <f t="shared" si="2"/>
        <v>-0.005552165882376831</v>
      </c>
      <c r="G34" s="88">
        <f t="shared" si="3"/>
        <v>0.9992176134060182</v>
      </c>
      <c r="H34" s="88">
        <f t="shared" si="4"/>
        <v>-0.005543652030303543</v>
      </c>
      <c r="I34" s="88">
        <f t="shared" si="5"/>
        <v>48.9222458286187</v>
      </c>
      <c r="J34" s="88">
        <f t="shared" si="6"/>
        <v>-353.7273792444102</v>
      </c>
      <c r="K34" s="88">
        <f t="shared" si="7"/>
        <v>6.107497781209637</v>
      </c>
      <c r="L34" s="88">
        <f t="shared" si="8"/>
        <v>-1.4893267023653112</v>
      </c>
      <c r="M34" s="88">
        <f t="shared" si="9"/>
        <v>87125</v>
      </c>
      <c r="N34" s="89"/>
    </row>
    <row r="35" spans="1:14" ht="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</row>
    <row r="36" spans="1:14" ht="15.75" thickBo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</row>
  </sheetData>
  <sheetProtection password="DD35" sheet="1" objects="1" scenarios="1"/>
  <protectedRanges>
    <protectedRange sqref="O1:AG95" name="Tartom?ny3"/>
    <protectedRange sqref="A23:B24" name="Tartom?ny1"/>
    <protectedRange sqref="D37:N91" name="Tartom?ny2"/>
  </protectedRange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20" sqref="F20"/>
    </sheetView>
  </sheetViews>
  <sheetFormatPr defaultColWidth="9.140625" defaultRowHeight="15"/>
  <cols>
    <col min="2" max="2" width="11.421875" style="0" customWidth="1"/>
    <col min="3" max="3" width="10.57421875" style="0" customWidth="1"/>
    <col min="4" max="4" width="12.57421875" style="0" customWidth="1"/>
    <col min="5" max="5" width="13.28125" style="0" customWidth="1"/>
    <col min="6" max="6" width="24.00390625" style="0" customWidth="1"/>
  </cols>
  <sheetData>
    <row r="1" spans="1:5" ht="20.25">
      <c r="A1">
        <f>(SQRT(5)+1)/2</f>
        <v>1.618033988749895</v>
      </c>
      <c r="C1" s="117" t="s">
        <v>45</v>
      </c>
      <c r="D1" s="118"/>
      <c r="E1" s="118"/>
    </row>
    <row r="2" ht="15.75" thickBot="1"/>
    <row r="3" spans="2:6" ht="15.75" thickBot="1">
      <c r="B3" s="111" t="s">
        <v>0</v>
      </c>
      <c r="C3" s="112" t="s">
        <v>1</v>
      </c>
      <c r="D3" s="111" t="s">
        <v>0</v>
      </c>
      <c r="E3" s="112" t="s">
        <v>1</v>
      </c>
      <c r="F3" s="119" t="s">
        <v>46</v>
      </c>
    </row>
    <row r="4" spans="2:6" ht="15">
      <c r="B4" s="115">
        <f aca="true" t="shared" si="0" ref="B4:B14">B6-B5</f>
        <v>52146</v>
      </c>
      <c r="C4" s="113">
        <f aca="true" t="shared" si="1" ref="C4:C14">C6-C5</f>
        <v>5443</v>
      </c>
      <c r="E4" s="113"/>
      <c r="F4" s="120"/>
    </row>
    <row r="5" spans="2:6" ht="15">
      <c r="B5" s="116">
        <f t="shared" si="0"/>
        <v>-32228</v>
      </c>
      <c r="C5" s="114">
        <f t="shared" si="1"/>
        <v>-3364</v>
      </c>
      <c r="D5">
        <f>2*(B6*B4-C6*C4)+3*(B5*B5-C5*C5)</f>
        <v>5136638526</v>
      </c>
      <c r="E5" s="114">
        <f>2*(B6*C4+C6*B4)+6*B5*C5</f>
        <v>1084140368</v>
      </c>
      <c r="F5" s="121">
        <f>SQRT(D5*D5+E5*E5)</f>
        <v>5249801489.991277</v>
      </c>
    </row>
    <row r="6" spans="2:6" ht="15">
      <c r="B6" s="116">
        <f t="shared" si="0"/>
        <v>19918</v>
      </c>
      <c r="C6" s="114">
        <f t="shared" si="1"/>
        <v>2079</v>
      </c>
      <c r="D6">
        <f aca="true" t="shared" si="2" ref="D6:D31">2*(B7*B5-C7*C5)+3*(B6*B6-C6*C6)</f>
        <v>1962021329</v>
      </c>
      <c r="E6" s="114">
        <f aca="true" t="shared" si="3" ref="E6:E31">2*(B7*C5+C7*B5)+6*B6*C6</f>
        <v>414104772</v>
      </c>
      <c r="F6" s="121">
        <f aca="true" t="shared" si="4" ref="F6:F31">SQRT(D6*D6+E6*E6)</f>
        <v>2005245734.977162</v>
      </c>
    </row>
    <row r="7" spans="2:6" ht="15">
      <c r="B7" s="116">
        <f t="shared" si="0"/>
        <v>-12310</v>
      </c>
      <c r="C7" s="114">
        <f t="shared" si="1"/>
        <v>-1285</v>
      </c>
      <c r="D7">
        <f t="shared" si="2"/>
        <v>749425461</v>
      </c>
      <c r="E7" s="114">
        <f t="shared" si="3"/>
        <v>158173948</v>
      </c>
      <c r="F7" s="121">
        <f t="shared" si="4"/>
        <v>765935714.940209</v>
      </c>
    </row>
    <row r="8" spans="2:6" ht="15">
      <c r="B8" s="116">
        <f t="shared" si="0"/>
        <v>7608</v>
      </c>
      <c r="C8" s="114">
        <f t="shared" si="1"/>
        <v>794</v>
      </c>
      <c r="D8">
        <f t="shared" si="2"/>
        <v>286255054</v>
      </c>
      <c r="E8" s="114">
        <f t="shared" si="3"/>
        <v>60417072</v>
      </c>
      <c r="F8" s="121">
        <f t="shared" si="4"/>
        <v>292561409.8434653</v>
      </c>
    </row>
    <row r="9" spans="2:6" ht="15">
      <c r="B9" s="116">
        <f t="shared" si="0"/>
        <v>-4702</v>
      </c>
      <c r="C9" s="114">
        <f t="shared" si="1"/>
        <v>-491</v>
      </c>
      <c r="D9">
        <f t="shared" si="2"/>
        <v>109339701</v>
      </c>
      <c r="E9" s="114">
        <f t="shared" si="3"/>
        <v>23077268</v>
      </c>
      <c r="F9" s="121">
        <f t="shared" si="4"/>
        <v>111748514.59018694</v>
      </c>
    </row>
    <row r="10" spans="2:6" ht="15">
      <c r="B10" s="116">
        <f t="shared" si="0"/>
        <v>2906</v>
      </c>
      <c r="C10" s="114">
        <f t="shared" si="1"/>
        <v>303</v>
      </c>
      <c r="D10">
        <f t="shared" si="2"/>
        <v>41764049</v>
      </c>
      <c r="E10" s="114">
        <f t="shared" si="3"/>
        <v>8814732</v>
      </c>
      <c r="F10" s="121">
        <f t="shared" si="4"/>
        <v>42684133.927095495</v>
      </c>
    </row>
    <row r="11" spans="2:6" ht="15">
      <c r="B11" s="116">
        <f t="shared" si="0"/>
        <v>-1796</v>
      </c>
      <c r="C11" s="114">
        <f t="shared" si="1"/>
        <v>-188</v>
      </c>
      <c r="D11">
        <f t="shared" si="2"/>
        <v>15952446</v>
      </c>
      <c r="E11" s="114">
        <f t="shared" si="3"/>
        <v>3366928</v>
      </c>
      <c r="F11" s="121">
        <f t="shared" si="4"/>
        <v>16303887.19109955</v>
      </c>
    </row>
    <row r="12" spans="2:6" ht="15">
      <c r="B12" s="116">
        <f t="shared" si="0"/>
        <v>1110</v>
      </c>
      <c r="C12" s="114">
        <f t="shared" si="1"/>
        <v>115</v>
      </c>
      <c r="D12">
        <f t="shared" si="2"/>
        <v>6093289</v>
      </c>
      <c r="E12" s="114">
        <f t="shared" si="3"/>
        <v>1286052</v>
      </c>
      <c r="F12" s="121">
        <f t="shared" si="4"/>
        <v>6227527.646203186</v>
      </c>
    </row>
    <row r="13" spans="2:6" ht="15">
      <c r="B13" s="116">
        <f t="shared" si="0"/>
        <v>-686</v>
      </c>
      <c r="C13" s="114">
        <f t="shared" si="1"/>
        <v>-73</v>
      </c>
      <c r="D13">
        <f t="shared" si="2"/>
        <v>2327421</v>
      </c>
      <c r="E13" s="114">
        <f t="shared" si="3"/>
        <v>491228</v>
      </c>
      <c r="F13" s="121">
        <f t="shared" si="4"/>
        <v>2378695.7475105976</v>
      </c>
    </row>
    <row r="14" spans="2:6" ht="15">
      <c r="B14" s="116">
        <f t="shared" si="0"/>
        <v>424</v>
      </c>
      <c r="C14" s="114">
        <f t="shared" si="1"/>
        <v>42</v>
      </c>
      <c r="D14">
        <f t="shared" si="2"/>
        <v>888974</v>
      </c>
      <c r="E14" s="114">
        <f t="shared" si="3"/>
        <v>187632</v>
      </c>
      <c r="F14" s="121">
        <f t="shared" si="4"/>
        <v>908559.5963391725</v>
      </c>
    </row>
    <row r="15" spans="2:6" ht="15">
      <c r="B15" s="116">
        <f>B17-B16</f>
        <v>-262</v>
      </c>
      <c r="C15" s="114">
        <f>C17-C16</f>
        <v>-31</v>
      </c>
      <c r="D15">
        <f t="shared" si="2"/>
        <v>339501</v>
      </c>
      <c r="E15" s="114">
        <f t="shared" si="3"/>
        <v>71668</v>
      </c>
      <c r="F15" s="121">
        <f t="shared" si="4"/>
        <v>346983.04169656476</v>
      </c>
    </row>
    <row r="16" spans="2:6" ht="15">
      <c r="B16" s="122">
        <f>'Komplex sjtért'!B15</f>
        <v>162</v>
      </c>
      <c r="C16" s="123">
        <v>11</v>
      </c>
      <c r="D16">
        <f t="shared" si="2"/>
        <v>129529</v>
      </c>
      <c r="E16" s="114">
        <f t="shared" si="3"/>
        <v>27372</v>
      </c>
      <c r="F16" s="121">
        <f t="shared" si="4"/>
        <v>132389.5321579467</v>
      </c>
    </row>
    <row r="17" spans="2:6" ht="15">
      <c r="B17" s="122">
        <f>'Komplex sjtért'!B16</f>
        <v>-100</v>
      </c>
      <c r="C17" s="123">
        <f>'Komplex sjtért'!C16</f>
        <v>-20</v>
      </c>
      <c r="D17">
        <f t="shared" si="2"/>
        <v>49086</v>
      </c>
      <c r="E17" s="114">
        <f t="shared" si="3"/>
        <v>10448</v>
      </c>
      <c r="F17" s="121">
        <f t="shared" si="4"/>
        <v>50185.61646527817</v>
      </c>
    </row>
    <row r="18" spans="2:6" ht="15">
      <c r="B18" s="116">
        <f>B17+B16</f>
        <v>62</v>
      </c>
      <c r="C18" s="114">
        <f>C17+C16</f>
        <v>-9</v>
      </c>
      <c r="D18">
        <f t="shared" si="2"/>
        <v>17729</v>
      </c>
      <c r="E18" s="114">
        <f t="shared" si="3"/>
        <v>3972</v>
      </c>
      <c r="F18" s="121">
        <f t="shared" si="4"/>
        <v>18168.495397252904</v>
      </c>
    </row>
    <row r="19" spans="2:6" ht="15">
      <c r="B19" s="116">
        <f aca="true" t="shared" si="5" ref="B19:B32">B18+B17</f>
        <v>-38</v>
      </c>
      <c r="C19" s="114">
        <f aca="true" t="shared" si="6" ref="C19:C32">C18+C17</f>
        <v>-29</v>
      </c>
      <c r="D19">
        <f t="shared" si="2"/>
        <v>4101</v>
      </c>
      <c r="E19" s="114">
        <f t="shared" si="3"/>
        <v>1468</v>
      </c>
      <c r="F19" s="121">
        <f t="shared" si="4"/>
        <v>4355.8265576122285</v>
      </c>
    </row>
    <row r="20" spans="2:6" ht="15">
      <c r="B20" s="116">
        <f t="shared" si="5"/>
        <v>24</v>
      </c>
      <c r="C20" s="114">
        <f t="shared" si="6"/>
        <v>-38</v>
      </c>
      <c r="D20">
        <f t="shared" si="2"/>
        <v>-5426</v>
      </c>
      <c r="E20" s="114">
        <f t="shared" si="3"/>
        <v>432</v>
      </c>
      <c r="F20" s="121">
        <f t="shared" si="4"/>
        <v>5443.170032251427</v>
      </c>
    </row>
    <row r="21" spans="2:6" ht="15">
      <c r="B21" s="116">
        <f t="shared" si="5"/>
        <v>-14</v>
      </c>
      <c r="C21" s="114">
        <f t="shared" si="6"/>
        <v>-67</v>
      </c>
      <c r="D21">
        <f t="shared" si="2"/>
        <v>-20379</v>
      </c>
      <c r="E21" s="114">
        <f t="shared" si="3"/>
        <v>-172</v>
      </c>
      <c r="F21" s="121">
        <f t="shared" si="4"/>
        <v>20379.72583230697</v>
      </c>
    </row>
    <row r="22" spans="2:6" ht="15">
      <c r="B22" s="116">
        <f t="shared" si="5"/>
        <v>10</v>
      </c>
      <c r="C22" s="114">
        <f t="shared" si="6"/>
        <v>-105</v>
      </c>
      <c r="D22">
        <f t="shared" si="2"/>
        <v>-55711</v>
      </c>
      <c r="E22" s="114">
        <f t="shared" si="3"/>
        <v>-948</v>
      </c>
      <c r="F22" s="121">
        <f t="shared" si="4"/>
        <v>55719.06518418987</v>
      </c>
    </row>
    <row r="23" spans="2:6" ht="15">
      <c r="B23" s="116">
        <f t="shared" si="5"/>
        <v>-4</v>
      </c>
      <c r="C23" s="114">
        <f t="shared" si="6"/>
        <v>-172</v>
      </c>
      <c r="D23">
        <f t="shared" si="2"/>
        <v>-146754</v>
      </c>
      <c r="E23" s="114">
        <f t="shared" si="3"/>
        <v>-2672</v>
      </c>
      <c r="F23" s="121">
        <f t="shared" si="4"/>
        <v>146778.3229908286</v>
      </c>
    </row>
    <row r="24" spans="2:6" ht="15">
      <c r="B24" s="116">
        <f t="shared" si="5"/>
        <v>6</v>
      </c>
      <c r="C24" s="114">
        <f t="shared" si="6"/>
        <v>-277</v>
      </c>
      <c r="D24">
        <f t="shared" si="2"/>
        <v>-384551</v>
      </c>
      <c r="E24" s="114">
        <f t="shared" si="3"/>
        <v>-7068</v>
      </c>
      <c r="F24" s="121">
        <f t="shared" si="4"/>
        <v>384615.9489997782</v>
      </c>
    </row>
    <row r="25" spans="2:6" ht="15">
      <c r="B25" s="116">
        <f t="shared" si="5"/>
        <v>2</v>
      </c>
      <c r="C25" s="114">
        <f t="shared" si="6"/>
        <v>-449</v>
      </c>
      <c r="D25">
        <f t="shared" si="2"/>
        <v>-1006899</v>
      </c>
      <c r="E25" s="114">
        <f t="shared" si="3"/>
        <v>-18532</v>
      </c>
      <c r="F25" s="121">
        <f t="shared" si="4"/>
        <v>1007069.5265099625</v>
      </c>
    </row>
    <row r="26" spans="2:6" ht="15">
      <c r="B26" s="116">
        <f t="shared" si="5"/>
        <v>8</v>
      </c>
      <c r="C26" s="114">
        <f t="shared" si="6"/>
        <v>-726</v>
      </c>
      <c r="D26">
        <f t="shared" si="2"/>
        <v>-2636146</v>
      </c>
      <c r="E26" s="114">
        <f t="shared" si="3"/>
        <v>-48528</v>
      </c>
      <c r="F26" s="121">
        <f t="shared" si="4"/>
        <v>2636592.6306693647</v>
      </c>
    </row>
    <row r="27" spans="2:6" ht="15">
      <c r="B27" s="116">
        <f t="shared" si="5"/>
        <v>10</v>
      </c>
      <c r="C27" s="114">
        <f t="shared" si="6"/>
        <v>-1175</v>
      </c>
      <c r="D27">
        <f t="shared" si="2"/>
        <v>-6901539</v>
      </c>
      <c r="E27" s="114">
        <f t="shared" si="3"/>
        <v>-127052</v>
      </c>
      <c r="F27" s="121">
        <f t="shared" si="4"/>
        <v>6902708.36550589</v>
      </c>
    </row>
    <row r="28" spans="2:6" ht="15">
      <c r="B28" s="116">
        <f t="shared" si="5"/>
        <v>18</v>
      </c>
      <c r="C28" s="114">
        <f t="shared" si="6"/>
        <v>-1901</v>
      </c>
      <c r="D28">
        <f t="shared" si="2"/>
        <v>-18068471</v>
      </c>
      <c r="E28" s="114">
        <f t="shared" si="3"/>
        <v>-332628</v>
      </c>
      <c r="F28" s="121">
        <f t="shared" si="4"/>
        <v>18071532.46584874</v>
      </c>
    </row>
    <row r="29" spans="2:6" ht="15">
      <c r="B29" s="116">
        <f t="shared" si="5"/>
        <v>28</v>
      </c>
      <c r="C29" s="114">
        <f t="shared" si="6"/>
        <v>-3076</v>
      </c>
      <c r="D29">
        <f t="shared" si="2"/>
        <v>-47303874</v>
      </c>
      <c r="E29" s="114">
        <f t="shared" si="3"/>
        <v>-870832</v>
      </c>
      <c r="F29" s="121">
        <f t="shared" si="4"/>
        <v>47311889.03204035</v>
      </c>
    </row>
    <row r="30" spans="2:6" ht="15">
      <c r="B30" s="116">
        <f t="shared" si="5"/>
        <v>46</v>
      </c>
      <c r="C30" s="114">
        <f t="shared" si="6"/>
        <v>-4977</v>
      </c>
      <c r="D30">
        <f t="shared" si="2"/>
        <v>-123843151</v>
      </c>
      <c r="E30" s="114">
        <f t="shared" si="3"/>
        <v>-2279868</v>
      </c>
      <c r="F30" s="121">
        <f t="shared" si="4"/>
        <v>123864134.63027231</v>
      </c>
    </row>
    <row r="31" spans="2:6" ht="15">
      <c r="B31" s="116">
        <f t="shared" si="5"/>
        <v>74</v>
      </c>
      <c r="C31" s="114">
        <f t="shared" si="6"/>
        <v>-8053</v>
      </c>
      <c r="D31">
        <f t="shared" si="2"/>
        <v>-324225579</v>
      </c>
      <c r="E31" s="114">
        <f t="shared" si="3"/>
        <v>-5968772</v>
      </c>
      <c r="F31" s="121">
        <f t="shared" si="4"/>
        <v>324280514.8587766</v>
      </c>
    </row>
    <row r="32" spans="2:6" ht="15">
      <c r="B32" s="116">
        <f t="shared" si="5"/>
        <v>120</v>
      </c>
      <c r="C32" s="114">
        <f t="shared" si="6"/>
        <v>-13030</v>
      </c>
      <c r="E32" s="114"/>
      <c r="F32" s="121"/>
    </row>
  </sheetData>
  <sheetProtection password="DD35" sheet="1" objects="1" scenarios="1"/>
  <protectedRanges>
    <protectedRange sqref="B16:C17" name="Tartom?ny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Szolcsányi György</dc:creator>
  <cp:keywords/>
  <dc:description/>
  <cp:lastModifiedBy>Szolcs</cp:lastModifiedBy>
  <dcterms:created xsi:type="dcterms:W3CDTF">2013-02-26T11:24:51Z</dcterms:created>
  <dcterms:modified xsi:type="dcterms:W3CDTF">2013-08-31T08:43:32Z</dcterms:modified>
  <cp:category/>
  <cp:version/>
  <cp:contentType/>
  <cp:contentStatus/>
</cp:coreProperties>
</file>